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ucf.sharepoint.com/sites/UCFTeam-FS-FSBO-PDCandCapital/Shared Documents/Capital Reporting for Mgmt/PMS Fees/"/>
    </mc:Choice>
  </mc:AlternateContent>
  <xr:revisionPtr revIDLastSave="0" documentId="8_{5E7D93CC-0362-4EF3-B6C8-6EE35CD32762}" xr6:coauthVersionLast="47" xr6:coauthVersionMax="47" xr10:uidLastSave="{00000000-0000-0000-0000-000000000000}"/>
  <bookViews>
    <workbookView xWindow="-120" yWindow="-120" windowWidth="29040" windowHeight="15840" tabRatio="614" xr2:uid="{00000000-000D-0000-FFFF-FFFF00000000}"/>
  </bookViews>
  <sheets>
    <sheet name="Cost" sheetId="10" r:id="rId1"/>
    <sheet name="Calc Sheet" sheetId="2" state="hidden" r:id="rId2"/>
  </sheets>
  <definedNames>
    <definedName name="_xlnm.Print_Area" localSheetId="0">Cost!$A$1:$I$58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0" l="1"/>
  <c r="B10" i="2"/>
  <c r="C10" i="2" s="1"/>
  <c r="D10" i="2" s="1"/>
  <c r="E10" i="2" s="1"/>
  <c r="F10" i="2" s="1"/>
  <c r="B5" i="2"/>
  <c r="C5" i="2" s="1"/>
  <c r="D5" i="2" s="1"/>
  <c r="E5" i="2" s="1"/>
  <c r="F5" i="2" s="1"/>
  <c r="D12" i="2" l="1"/>
  <c r="E12" i="2"/>
  <c r="F12" i="2"/>
  <c r="E11" i="2"/>
  <c r="F11" i="2"/>
  <c r="F41" i="10" l="1"/>
  <c r="G41" i="10"/>
  <c r="E42" i="10"/>
  <c r="F42" i="10"/>
  <c r="G42" i="10"/>
  <c r="B40" i="10"/>
  <c r="B42" i="10" l="1"/>
  <c r="G40" i="10" l="1"/>
  <c r="F40" i="10"/>
  <c r="B41" i="10"/>
  <c r="B45" i="10"/>
  <c r="B46" i="10"/>
  <c r="C14" i="10" l="1"/>
  <c r="C45" i="10" s="1"/>
  <c r="C21" i="10"/>
  <c r="C46" i="10" s="1"/>
  <c r="C28" i="10"/>
  <c r="C38" i="10"/>
  <c r="E14" i="10"/>
  <c r="F14" i="10"/>
  <c r="G14" i="10"/>
  <c r="G45" i="10" s="1"/>
  <c r="I37" i="10"/>
  <c r="I36" i="10"/>
  <c r="I35" i="10"/>
  <c r="I30" i="10"/>
  <c r="I27" i="10"/>
  <c r="I26" i="10"/>
  <c r="I25" i="10"/>
  <c r="I24" i="10"/>
  <c r="I23" i="10"/>
  <c r="I20" i="10"/>
  <c r="I19" i="10"/>
  <c r="I18" i="10"/>
  <c r="I17" i="10"/>
  <c r="I16" i="10"/>
  <c r="I50" i="10"/>
  <c r="I13" i="10"/>
  <c r="I12" i="10"/>
  <c r="I11" i="10"/>
  <c r="I1" i="10"/>
  <c r="E38" i="10"/>
  <c r="E21" i="10"/>
  <c r="E46" i="10" s="1"/>
  <c r="E45" i="10"/>
  <c r="F38" i="10"/>
  <c r="F21" i="10"/>
  <c r="F46" i="10" s="1"/>
  <c r="F45" i="10"/>
  <c r="G38" i="10"/>
  <c r="D38" i="10"/>
  <c r="G21" i="10"/>
  <c r="G46" i="10" s="1"/>
  <c r="D21" i="10"/>
  <c r="D46" i="10" s="1"/>
  <c r="D14" i="10"/>
  <c r="D45" i="10" s="1"/>
  <c r="B52" i="2"/>
  <c r="B53" i="2" s="1"/>
  <c r="D28" i="10"/>
  <c r="G28" i="10"/>
  <c r="F28" i="10"/>
  <c r="E28" i="10"/>
  <c r="I14" i="10" l="1"/>
  <c r="E47" i="10"/>
  <c r="B55" i="2"/>
  <c r="G47" i="10"/>
  <c r="C47" i="10"/>
  <c r="F47" i="10"/>
  <c r="I46" i="10"/>
  <c r="I45" i="10"/>
  <c r="D47" i="10"/>
  <c r="I38" i="10"/>
  <c r="I28" i="10"/>
  <c r="C52" i="2"/>
  <c r="D52" i="2" s="1"/>
  <c r="D53" i="2" s="1"/>
  <c r="D55" i="2" s="1"/>
  <c r="I21" i="10"/>
  <c r="B12" i="2" l="1"/>
  <c r="B7" i="2"/>
  <c r="B46" i="2"/>
  <c r="D74" i="2" s="1"/>
  <c r="B40" i="2"/>
  <c r="D63" i="2" s="1"/>
  <c r="I47" i="10"/>
  <c r="C53" i="2"/>
  <c r="E52" i="2"/>
  <c r="F52" i="2" s="1"/>
  <c r="F53" i="2" s="1"/>
  <c r="F55" i="2" s="1"/>
  <c r="D59" i="2" l="1"/>
  <c r="D73" i="2"/>
  <c r="C12" i="2"/>
  <c r="D69" i="2"/>
  <c r="D70" i="2"/>
  <c r="D71" i="2"/>
  <c r="C46" i="2"/>
  <c r="E74" i="2" s="1"/>
  <c r="D72" i="2"/>
  <c r="C55" i="2"/>
  <c r="D42" i="10"/>
  <c r="I42" i="10" s="1"/>
  <c r="D61" i="2"/>
  <c r="D62" i="2"/>
  <c r="D58" i="2"/>
  <c r="C40" i="2"/>
  <c r="E63" i="2" s="1"/>
  <c r="D60" i="2"/>
  <c r="D21" i="2"/>
  <c r="D29" i="2"/>
  <c r="E53" i="2"/>
  <c r="E55" i="2" s="1"/>
  <c r="E59" i="2" l="1"/>
  <c r="E72" i="2"/>
  <c r="E71" i="2"/>
  <c r="D77" i="2"/>
  <c r="B47" i="2" s="1"/>
  <c r="E70" i="2"/>
  <c r="D46" i="2"/>
  <c r="F74" i="2" s="1"/>
  <c r="E73" i="2"/>
  <c r="E69" i="2"/>
  <c r="C7" i="2"/>
  <c r="E62" i="2"/>
  <c r="E61" i="2"/>
  <c r="E20" i="2"/>
  <c r="D19" i="2"/>
  <c r="D66" i="2"/>
  <c r="B41" i="2" s="1"/>
  <c r="E60" i="2"/>
  <c r="D22" i="2"/>
  <c r="E58" i="2"/>
  <c r="D17" i="2"/>
  <c r="D18" i="2"/>
  <c r="D40" i="2"/>
  <c r="F63" i="2" s="1"/>
  <c r="D15" i="2"/>
  <c r="D16" i="2"/>
  <c r="D20" i="2"/>
  <c r="D27" i="2"/>
  <c r="D31" i="2"/>
  <c r="D28" i="2"/>
  <c r="D33" i="2"/>
  <c r="D30" i="2"/>
  <c r="D32" i="2"/>
  <c r="D34" i="2"/>
  <c r="D7" i="2"/>
  <c r="F58" i="2" l="1"/>
  <c r="E46" i="2"/>
  <c r="F71" i="2"/>
  <c r="F69" i="2"/>
  <c r="F72" i="2"/>
  <c r="F70" i="2"/>
  <c r="F73" i="2"/>
  <c r="E77" i="2"/>
  <c r="C47" i="2" s="1"/>
  <c r="D32" i="10"/>
  <c r="E15" i="2"/>
  <c r="E22" i="2"/>
  <c r="F17" i="2"/>
  <c r="E66" i="2"/>
  <c r="C41" i="2" s="1"/>
  <c r="E19" i="2"/>
  <c r="E16" i="2"/>
  <c r="E18" i="2"/>
  <c r="E17" i="2"/>
  <c r="E21" i="2"/>
  <c r="F59" i="2"/>
  <c r="F62" i="2"/>
  <c r="F61" i="2"/>
  <c r="E40" i="2"/>
  <c r="G63" i="2" s="1"/>
  <c r="F60" i="2"/>
  <c r="D24" i="2"/>
  <c r="C6" i="2" s="1"/>
  <c r="E31" i="2"/>
  <c r="E30" i="2"/>
  <c r="E33" i="2"/>
  <c r="D36" i="2"/>
  <c r="E29" i="2"/>
  <c r="E27" i="2"/>
  <c r="E32" i="10"/>
  <c r="E28" i="2"/>
  <c r="E32" i="2"/>
  <c r="E34" i="2"/>
  <c r="E7" i="2"/>
  <c r="F27" i="2"/>
  <c r="F34" i="2"/>
  <c r="F28" i="2"/>
  <c r="F33" i="2"/>
  <c r="F30" i="2"/>
  <c r="F31" i="2"/>
  <c r="F32" i="2"/>
  <c r="F29" i="2"/>
  <c r="G72" i="2" l="1"/>
  <c r="G74" i="2"/>
  <c r="G73" i="2"/>
  <c r="G70" i="2"/>
  <c r="G71" i="2"/>
  <c r="G69" i="2"/>
  <c r="F46" i="2"/>
  <c r="G61" i="2"/>
  <c r="F77" i="2"/>
  <c r="D47" i="2" s="1"/>
  <c r="C11" i="2"/>
  <c r="F15" i="2"/>
  <c r="F19" i="2"/>
  <c r="E24" i="2"/>
  <c r="D6" i="2" s="1"/>
  <c r="F16" i="2"/>
  <c r="F22" i="2"/>
  <c r="F18" i="2"/>
  <c r="F21" i="2"/>
  <c r="F20" i="2"/>
  <c r="F66" i="2"/>
  <c r="D41" i="2" s="1"/>
  <c r="F40" i="2"/>
  <c r="H63" i="2" s="1"/>
  <c r="G59" i="2"/>
  <c r="G60" i="2"/>
  <c r="G62" i="2"/>
  <c r="G58" i="2"/>
  <c r="E36" i="2"/>
  <c r="F32" i="10"/>
  <c r="F7" i="2"/>
  <c r="G33" i="2"/>
  <c r="G27" i="2"/>
  <c r="G30" i="2"/>
  <c r="G29" i="2"/>
  <c r="G31" i="2"/>
  <c r="G34" i="2"/>
  <c r="G32" i="2"/>
  <c r="G28" i="2"/>
  <c r="F36" i="2"/>
  <c r="H70" i="2" l="1"/>
  <c r="H74" i="2"/>
  <c r="D11" i="2"/>
  <c r="E31" i="10" s="1"/>
  <c r="E33" i="10" s="1"/>
  <c r="H72" i="2"/>
  <c r="H73" i="2"/>
  <c r="H69" i="2"/>
  <c r="H71" i="2"/>
  <c r="G77" i="2"/>
  <c r="E47" i="2" s="1"/>
  <c r="G17" i="2"/>
  <c r="G19" i="2"/>
  <c r="G16" i="2"/>
  <c r="F24" i="2"/>
  <c r="E6" i="2" s="1"/>
  <c r="G15" i="2"/>
  <c r="G21" i="2"/>
  <c r="G20" i="2"/>
  <c r="G22" i="2"/>
  <c r="G18" i="2"/>
  <c r="H62" i="2"/>
  <c r="G66" i="2"/>
  <c r="E41" i="2" s="1"/>
  <c r="H58" i="2"/>
  <c r="H61" i="2"/>
  <c r="H60" i="2"/>
  <c r="H59" i="2"/>
  <c r="G32" i="10"/>
  <c r="F31" i="10"/>
  <c r="F33" i="10" s="1"/>
  <c r="G36" i="2"/>
  <c r="H77" i="2" l="1"/>
  <c r="F47" i="2" s="1"/>
  <c r="G24" i="2"/>
  <c r="F6" i="2" s="1"/>
  <c r="H66" i="2"/>
  <c r="F41" i="2" s="1"/>
  <c r="G31" i="10"/>
  <c r="G33" i="10" s="1"/>
  <c r="G43" i="10" l="1"/>
  <c r="G52" i="10" s="1"/>
  <c r="G51" i="10" l="1"/>
  <c r="F43" i="10"/>
  <c r="F52" i="10" s="1"/>
  <c r="C20" i="2"/>
  <c r="C18" i="2"/>
  <c r="C19" i="2"/>
  <c r="C16" i="2"/>
  <c r="C22" i="2"/>
  <c r="C21" i="2"/>
  <c r="C17" i="2"/>
  <c r="C15" i="2"/>
  <c r="C24" i="2" l="1"/>
  <c r="B6" i="2" s="1"/>
  <c r="F51" i="10"/>
  <c r="C29" i="2" l="1"/>
  <c r="C28" i="2"/>
  <c r="C30" i="2"/>
  <c r="C33" i="2"/>
  <c r="C32" i="2"/>
  <c r="C31" i="2"/>
  <c r="C34" i="2"/>
  <c r="C32" i="10"/>
  <c r="I32" i="10" s="1"/>
  <c r="C27" i="2"/>
  <c r="C36" i="2" l="1"/>
  <c r="B11" i="2" l="1"/>
  <c r="D31" i="10" s="1"/>
  <c r="D33" i="10" s="1"/>
  <c r="C31" i="10" l="1"/>
  <c r="I31" i="10" s="1"/>
  <c r="I33" i="10" s="1"/>
  <c r="C33" i="10" l="1"/>
  <c r="B42" i="2" s="1"/>
  <c r="B48" i="2" l="1"/>
  <c r="B49" i="2" s="1"/>
  <c r="B43" i="2"/>
  <c r="C42" i="2"/>
  <c r="D42" i="2" s="1"/>
  <c r="C41" i="10" l="1"/>
  <c r="C40" i="10"/>
  <c r="C48" i="2"/>
  <c r="C49" i="2" s="1"/>
  <c r="D41" i="10" s="1"/>
  <c r="C43" i="2"/>
  <c r="D40" i="10"/>
  <c r="E42" i="2"/>
  <c r="D43" i="2"/>
  <c r="D48" i="2"/>
  <c r="C43" i="10" l="1"/>
  <c r="C52" i="10" s="1"/>
  <c r="D49" i="2"/>
  <c r="E41" i="10" s="1"/>
  <c r="I41" i="10" s="1"/>
  <c r="E40" i="10"/>
  <c r="I40" i="10" s="1"/>
  <c r="E43" i="2"/>
  <c r="E48" i="2"/>
  <c r="E49" i="2" s="1"/>
  <c r="F42" i="2"/>
  <c r="D43" i="10"/>
  <c r="C51" i="10" l="1"/>
  <c r="E43" i="10"/>
  <c r="E51" i="10" s="1"/>
  <c r="I43" i="10"/>
  <c r="D52" i="10"/>
  <c r="D51" i="10"/>
  <c r="F48" i="2"/>
  <c r="F49" i="2" s="1"/>
  <c r="F43" i="2"/>
  <c r="E52" i="10" l="1"/>
  <c r="I51" i="10"/>
</calcChain>
</file>

<file path=xl/sharedStrings.xml><?xml version="1.0" encoding="utf-8"?>
<sst xmlns="http://schemas.openxmlformats.org/spreadsheetml/2006/main" count="147" uniqueCount="92">
  <si>
    <t>Subtotal Proposed Cost of Construction</t>
  </si>
  <si>
    <t>Design Cost</t>
  </si>
  <si>
    <t>Design</t>
  </si>
  <si>
    <t>FPC Estimated Project Cost Under Management</t>
  </si>
  <si>
    <t>Construction</t>
  </si>
  <si>
    <t>FPC Project Cost Under Management</t>
  </si>
  <si>
    <t>Tech Fee</t>
  </si>
  <si>
    <t>No</t>
  </si>
  <si>
    <t>Yes</t>
  </si>
  <si>
    <t>Date:</t>
  </si>
  <si>
    <t>MP#:</t>
  </si>
  <si>
    <t>Project Name</t>
  </si>
  <si>
    <t>*</t>
  </si>
  <si>
    <t>**</t>
  </si>
  <si>
    <t>***</t>
  </si>
  <si>
    <t>Data Validation</t>
  </si>
  <si>
    <t>BCO Fee</t>
  </si>
  <si>
    <t>SFM Fees</t>
  </si>
  <si>
    <t>Design FP&amp;C Fee</t>
  </si>
  <si>
    <t>Subtotal of Design and Preconstruction Costs</t>
  </si>
  <si>
    <t>Subtotal Proposed Cost of Administrative Fees</t>
  </si>
  <si>
    <t>Subtotal Proposed Cost of Furniture, Fixture &amp; Equipment</t>
  </si>
  <si>
    <t>Subtotal of PDC Project Management Fees</t>
  </si>
  <si>
    <t>Subtotal of Project Contingency</t>
  </si>
  <si>
    <t>Subtotal Proposed Costs of UCF Internal Support Departments</t>
  </si>
  <si>
    <t>Preconstruction (Construction Manager)</t>
  </si>
  <si>
    <t>Site Infrastructure (Early Site Package)</t>
  </si>
  <si>
    <t>Funding Request</t>
  </si>
  <si>
    <t>MPP 1</t>
  </si>
  <si>
    <t>Total</t>
  </si>
  <si>
    <t>MPP 1, 2, 3</t>
  </si>
  <si>
    <t>MPP 1, 2, 3, 4, 5</t>
  </si>
  <si>
    <t>MPP 1, 2, 3, 4</t>
  </si>
  <si>
    <t>MPP 1, 2</t>
  </si>
  <si>
    <t>Total PMS Fee</t>
  </si>
  <si>
    <t>PMS Fee Calc</t>
  </si>
  <si>
    <t>BCO/SFM Calc</t>
  </si>
  <si>
    <t>DESIGN BCO Scale</t>
  </si>
  <si>
    <t>CONSTRUCTION BCO Scale</t>
  </si>
  <si>
    <t>BCO Calc Total</t>
  </si>
  <si>
    <t>Total FP&amp;C Fee</t>
  </si>
  <si>
    <r>
      <t xml:space="preserve">SFM </t>
    </r>
    <r>
      <rPr>
        <sz val="8.5"/>
        <color theme="1"/>
        <rFont val="Arial"/>
        <family val="2"/>
      </rPr>
      <t xml:space="preserve">- PM to select Yes if Building Permit needed. </t>
    </r>
    <r>
      <rPr>
        <i/>
        <sz val="8.5"/>
        <color theme="1"/>
        <rFont val="Arial"/>
        <family val="2"/>
      </rPr>
      <t>Once Yes is selected must select Yes in subsequent phases</t>
    </r>
  </si>
  <si>
    <r>
      <t xml:space="preserve">Building Permit </t>
    </r>
    <r>
      <rPr>
        <sz val="8.5"/>
        <color theme="1"/>
        <rFont val="Arial"/>
        <family val="2"/>
      </rPr>
      <t xml:space="preserve">- PM to select Yes if Building Permit needed. </t>
    </r>
    <r>
      <rPr>
        <i/>
        <sz val="8.5"/>
        <color theme="1"/>
        <rFont val="Arial"/>
        <family val="2"/>
      </rPr>
      <t>Once Yes is selected must select Yes in subsequent phases</t>
    </r>
  </si>
  <si>
    <t>Includes design, construction, commissioning, FO WO and FFE</t>
  </si>
  <si>
    <t>Includes all items except admin fees</t>
  </si>
  <si>
    <t>Construction &amp; Tech Fee</t>
  </si>
  <si>
    <t>Contractor Construction Costs ^</t>
  </si>
  <si>
    <t>Access Control &amp; Camera Costs ^</t>
  </si>
  <si>
    <t>Consultant Commissioning ^</t>
  </si>
  <si>
    <t>Testing &amp; Inspections ^</t>
  </si>
  <si>
    <t>Landscape Costs (Direct to external landscaper) ^</t>
  </si>
  <si>
    <t>Utilities Costs &amp; Fees (Energy Cap) ^</t>
  </si>
  <si>
    <t>UCF Commissioning / Oversight ^</t>
  </si>
  <si>
    <t>Telecom (UCFIT) ^</t>
  </si>
  <si>
    <t>Multimedia (OIR) ^</t>
  </si>
  <si>
    <t>F &amp; S Work Orders * ^</t>
  </si>
  <si>
    <t>Insurance Fees ^</t>
  </si>
  <si>
    <t>Building Permit Fees * ^</t>
  </si>
  <si>
    <t>State Fire Marshal Permit Fees * ^</t>
  </si>
  <si>
    <t>Furniture, Fixtures &amp; Equipment ^</t>
  </si>
  <si>
    <t>Moving Expenses ^</t>
  </si>
  <si>
    <t>Art in State ^</t>
  </si>
  <si>
    <t>^</t>
  </si>
  <si>
    <t>Funds not encumbered by PD&amp;C **</t>
  </si>
  <si>
    <t>Funding Request Date</t>
  </si>
  <si>
    <t>Just estimates in Design</t>
  </si>
  <si>
    <t>PM to populate</t>
  </si>
  <si>
    <t>Instructions for PM</t>
  </si>
  <si>
    <t>Unused funds under this line item will be refunded to the client during project close-out.</t>
  </si>
  <si>
    <t>This line is formula driven</t>
  </si>
  <si>
    <t>These items will be estimates in the Design phase and will not be included in the funds encumbered by PDC until actuals are received in a subsequent Construction phase.</t>
  </si>
  <si>
    <t>These are the funds PD&amp;C requires from the client to perform work in the current phase of the project.</t>
  </si>
  <si>
    <t>Design BCO</t>
  </si>
  <si>
    <t>Cons/Tech Fee BCO</t>
  </si>
  <si>
    <t>Design Phase</t>
  </si>
  <si>
    <t>Tech Fee Phase</t>
  </si>
  <si>
    <t>-</t>
  </si>
  <si>
    <r>
      <rPr>
        <b/>
        <sz val="8.5"/>
        <color theme="1"/>
        <rFont val="Arial"/>
        <family val="2"/>
      </rPr>
      <t xml:space="preserve"> Phase Type </t>
    </r>
    <r>
      <rPr>
        <sz val="8.5"/>
        <color theme="1"/>
        <rFont val="Arial"/>
        <family val="2"/>
      </rPr>
      <t>- PM to select Tech Fee, Design or Construction -</t>
    </r>
    <r>
      <rPr>
        <i/>
        <sz val="8.5"/>
        <color theme="1"/>
        <rFont val="Arial"/>
        <family val="2"/>
      </rPr>
      <t xml:space="preserve"> If only Design w/ Construction estimates select Design. If Design AND Construction actuals or only Construction select Construction. Once Construction is selected PM must select Construction in subsequent phases even if additional design costs are required. Once Tech Fee is selected PM must select Tech Fee in subsequent phases. </t>
    </r>
  </si>
  <si>
    <t>This represents costs not included in funds encumbered by PD&amp;C but are included in total project cost. Cost examples may include UCFIT, OIR, permit pass through, etc.</t>
  </si>
  <si>
    <t>These are the Project Management Fees that PD&amp;C requires to complete the Design Phase of the project and is calculated as 50% of the total project cost.  The Construction Phase will carry the remaining Project Management Fee balance including a true-up for final construction costs.</t>
  </si>
  <si>
    <t>~</t>
  </si>
  <si>
    <t>Building Permit</t>
  </si>
  <si>
    <t>SFM</t>
  </si>
  <si>
    <t xml:space="preserve"> Phase Type</t>
  </si>
  <si>
    <t>Construction Phase</t>
  </si>
  <si>
    <t>Design Phase PMS Scale</t>
  </si>
  <si>
    <t>Construction Phase PMS Scale</t>
  </si>
  <si>
    <t>ESTIMATED PROJECT COST BY PHASE</t>
  </si>
  <si>
    <t>TOTAL FUNDS ENCUMBERED BY PD&amp;C***</t>
  </si>
  <si>
    <t>PM Comments</t>
  </si>
  <si>
    <t>Budget Approval and Modification</t>
  </si>
  <si>
    <t>Includes BCO for Tech Fee, also captures Design Actual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</si>
</sst>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00_);_(&quot;$&quot;* \(#,##0.00\);_(&quot;$&quot;* &quot;-&quot;???_);_(@_)"/>
    <numFmt numFmtId="166" formatCode="0.0%"/>
    <numFmt numFmtId="167" formatCode="_(* #,##0_);_(* \(#,##0\);_(* &quot;-&quot;??_);_(@_)"/>
  </numFmts>
  <fonts count="16" x14ac:knownFonts="1">
    <font>
      <sz val="11"/>
      <color theme="1"/>
      <name val="Calibri"/>
      <family val="2"/>
      <scheme val="minor"/>
    </font>
    <font>
      <sz val="11"/>
      <color theme="1"/>
      <name val="Calibri"/>
      <family val="2"/>
      <scheme val="minor"/>
    </font>
    <font>
      <sz val="10"/>
      <name val="Arial"/>
      <family val="2"/>
    </font>
    <font>
      <sz val="10"/>
      <color theme="1"/>
      <name val="Arial"/>
      <family val="2"/>
    </font>
    <font>
      <sz val="8.5"/>
      <color theme="1"/>
      <name val="Arial"/>
      <family val="2"/>
    </font>
    <font>
      <b/>
      <sz val="8.5"/>
      <color theme="1"/>
      <name val="Arial"/>
      <family val="2"/>
    </font>
    <font>
      <i/>
      <sz val="8.5"/>
      <color theme="1"/>
      <name val="Arial"/>
      <family val="2"/>
    </font>
    <font>
      <sz val="8.5"/>
      <color theme="0" tint="-0.34998626667073579"/>
      <name val="Arial"/>
      <family val="2"/>
    </font>
    <font>
      <sz val="8.5"/>
      <color theme="1"/>
      <name val="Calibri"/>
      <family val="2"/>
      <scheme val="minor"/>
    </font>
    <font>
      <sz val="8.5"/>
      <name val="Arial"/>
      <family val="2"/>
    </font>
    <font>
      <b/>
      <sz val="8.5"/>
      <name val="Arial"/>
      <family val="2"/>
    </font>
    <font>
      <b/>
      <sz val="14"/>
      <color theme="1"/>
      <name val="Arial"/>
      <family val="2"/>
    </font>
    <font>
      <sz val="14"/>
      <color theme="1"/>
      <name val="Arial"/>
      <family val="2"/>
    </font>
    <font>
      <b/>
      <u/>
      <sz val="8.5"/>
      <color theme="1"/>
      <name val="Arial"/>
      <family val="2"/>
    </font>
    <font>
      <u/>
      <sz val="10"/>
      <color theme="1"/>
      <name val="Arial"/>
      <family val="2"/>
    </font>
    <font>
      <sz val="16"/>
      <color theme="1"/>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FF00"/>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top/>
      <bottom style="hair">
        <color auto="1"/>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hair">
        <color auto="1"/>
      </left>
      <right style="hair">
        <color auto="1"/>
      </right>
      <top style="thick">
        <color indexed="64"/>
      </top>
      <bottom style="hair">
        <color auto="1"/>
      </bottom>
      <diagonal/>
    </border>
    <border>
      <left/>
      <right style="hair">
        <color auto="1"/>
      </right>
      <top style="hair">
        <color auto="1"/>
      </top>
      <bottom/>
      <diagonal/>
    </border>
    <border>
      <left style="hair">
        <color auto="1"/>
      </left>
      <right style="hair">
        <color auto="1"/>
      </right>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diagonal/>
    </border>
    <border>
      <left style="hair">
        <color auto="1"/>
      </left>
      <right style="hair">
        <color auto="1"/>
      </right>
      <top/>
      <bottom/>
      <diagonal/>
    </border>
    <border>
      <left style="hair">
        <color auto="1"/>
      </left>
      <right/>
      <top style="thick">
        <color indexed="64"/>
      </top>
      <bottom style="hair">
        <color auto="1"/>
      </bottom>
      <diagonal/>
    </border>
    <border>
      <left style="hair">
        <color auto="1"/>
      </left>
      <right style="hair">
        <color auto="1"/>
      </right>
      <top style="thick">
        <color indexed="64"/>
      </top>
      <bottom style="thick">
        <color indexed="64"/>
      </bottom>
      <diagonal/>
    </border>
    <border>
      <left style="hair">
        <color auto="1"/>
      </left>
      <right style="hair">
        <color auto="1"/>
      </right>
      <top style="thick">
        <color indexed="64"/>
      </top>
      <bottom/>
      <diagonal/>
    </border>
    <border>
      <left style="hair">
        <color auto="1"/>
      </left>
      <right style="thick">
        <color indexed="64"/>
      </right>
      <top style="thick">
        <color indexed="64"/>
      </top>
      <bottom style="hair">
        <color auto="1"/>
      </bottom>
      <diagonal/>
    </border>
    <border>
      <left style="thick">
        <color indexed="64"/>
      </left>
      <right style="hair">
        <color indexed="64"/>
      </right>
      <top style="hair">
        <color indexed="64"/>
      </top>
      <bottom/>
      <diagonal/>
    </border>
    <border>
      <left style="hair">
        <color indexed="64"/>
      </left>
      <right/>
      <top/>
      <bottom/>
      <diagonal/>
    </border>
    <border>
      <left/>
      <right/>
      <top style="thick">
        <color indexed="64"/>
      </top>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hair">
        <color indexed="64"/>
      </left>
      <right/>
      <top style="hair">
        <color indexed="64"/>
      </top>
      <bottom/>
      <diagonal/>
    </border>
    <border>
      <left style="hair">
        <color auto="1"/>
      </left>
      <right/>
      <top style="medium">
        <color auto="1"/>
      </top>
      <bottom/>
      <diagonal/>
    </border>
    <border>
      <left style="double">
        <color indexed="64"/>
      </left>
      <right/>
      <top style="double">
        <color indexed="64"/>
      </top>
      <bottom style="double">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cellStyleXfs>
  <cellXfs count="133">
    <xf numFmtId="0" fontId="0" fillId="0" borderId="0" xfId="0"/>
    <xf numFmtId="0" fontId="3" fillId="0" borderId="0" xfId="0" applyFont="1"/>
    <xf numFmtId="164" fontId="2" fillId="0" borderId="0" xfId="2" applyNumberFormat="1"/>
    <xf numFmtId="164" fontId="3" fillId="0" borderId="0" xfId="2" applyNumberFormat="1" applyFont="1"/>
    <xf numFmtId="0" fontId="0" fillId="0" borderId="0" xfId="0" applyAlignment="1">
      <alignment vertical="center"/>
    </xf>
    <xf numFmtId="0" fontId="0" fillId="0" borderId="0" xfId="0" applyAlignment="1">
      <alignment horizontal="left" vertical="center" indent="1"/>
    </xf>
    <xf numFmtId="0" fontId="0" fillId="0" borderId="0" xfId="0" applyAlignment="1">
      <alignment horizontal="left" vertical="center" indent="2"/>
    </xf>
    <xf numFmtId="0" fontId="0" fillId="0" borderId="0" xfId="0" applyAlignment="1">
      <alignment horizontal="left" vertical="center" indent="3"/>
    </xf>
    <xf numFmtId="0" fontId="0" fillId="0" borderId="0" xfId="0" applyAlignment="1">
      <alignment horizontal="left" vertical="center" indent="4"/>
    </xf>
    <xf numFmtId="0" fontId="4" fillId="0" borderId="0" xfId="0" applyFont="1"/>
    <xf numFmtId="0" fontId="5" fillId="0" borderId="2" xfId="0" applyFont="1" applyBorder="1" applyAlignment="1">
      <alignment horizontal="center"/>
    </xf>
    <xf numFmtId="44" fontId="4" fillId="0" borderId="0" xfId="0" applyNumberFormat="1" applyFont="1"/>
    <xf numFmtId="0" fontId="5" fillId="0" borderId="0" xfId="0" applyFont="1" applyAlignment="1">
      <alignment horizontal="center"/>
    </xf>
    <xf numFmtId="44" fontId="5" fillId="0" borderId="0" xfId="1" applyFont="1" applyBorder="1" applyAlignment="1">
      <alignment horizontal="left"/>
    </xf>
    <xf numFmtId="44" fontId="7" fillId="2" borderId="0" xfId="1" applyFont="1" applyFill="1" applyBorder="1" applyAlignment="1">
      <alignment horizontal="left"/>
    </xf>
    <xf numFmtId="0" fontId="5" fillId="0" borderId="4" xfId="0" applyFont="1" applyBorder="1" applyAlignment="1">
      <alignment vertical="center" wrapText="1"/>
    </xf>
    <xf numFmtId="44" fontId="5" fillId="0" borderId="3" xfId="1" applyFont="1" applyBorder="1" applyAlignment="1">
      <alignment horizontal="left"/>
    </xf>
    <xf numFmtId="0" fontId="8" fillId="3" borderId="7" xfId="0" applyFont="1" applyFill="1" applyBorder="1" applyAlignment="1">
      <alignment horizontal="center" vertical="center"/>
    </xf>
    <xf numFmtId="0" fontId="4" fillId="0" borderId="0" xfId="0" applyFont="1" applyAlignment="1">
      <alignment horizontal="right"/>
    </xf>
    <xf numFmtId="0" fontId="6" fillId="0" borderId="0" xfId="0" applyFont="1"/>
    <xf numFmtId="164" fontId="4" fillId="0" borderId="1" xfId="2" applyNumberFormat="1" applyFont="1" applyBorder="1"/>
    <xf numFmtId="164" fontId="4" fillId="0" borderId="0" xfId="2" applyNumberFormat="1" applyFont="1"/>
    <xf numFmtId="165" fontId="4" fillId="0" borderId="0" xfId="0" applyNumberFormat="1" applyFont="1"/>
    <xf numFmtId="0" fontId="4" fillId="0" borderId="0" xfId="0" applyFont="1" applyAlignment="1">
      <alignment horizontal="center"/>
    </xf>
    <xf numFmtId="0" fontId="4" fillId="0" borderId="7" xfId="0" applyFont="1" applyBorder="1"/>
    <xf numFmtId="0" fontId="5" fillId="0" borderId="0" xfId="0" applyFont="1"/>
    <xf numFmtId="14" fontId="4" fillId="0" borderId="0" xfId="0" applyNumberFormat="1" applyFont="1"/>
    <xf numFmtId="9" fontId="4" fillId="0" borderId="0" xfId="0" applyNumberFormat="1" applyFont="1"/>
    <xf numFmtId="0" fontId="5" fillId="0" borderId="0" xfId="0" applyFont="1" applyAlignment="1">
      <alignment wrapText="1"/>
    </xf>
    <xf numFmtId="44" fontId="4" fillId="0" borderId="0" xfId="1" applyFont="1" applyBorder="1"/>
    <xf numFmtId="0" fontId="5" fillId="0" borderId="13" xfId="0" applyFont="1" applyBorder="1" applyAlignment="1">
      <alignment vertical="center" wrapText="1"/>
    </xf>
    <xf numFmtId="0" fontId="4" fillId="0" borderId="14" xfId="0" applyFont="1" applyBorder="1" applyAlignment="1">
      <alignment vertical="center" wrapText="1"/>
    </xf>
    <xf numFmtId="0" fontId="5" fillId="0" borderId="15" xfId="0" applyFont="1" applyBorder="1" applyAlignment="1">
      <alignment horizontal="center"/>
    </xf>
    <xf numFmtId="0" fontId="4" fillId="0" borderId="15" xfId="0" applyFont="1" applyBorder="1" applyAlignment="1">
      <alignment vertical="center" wrapText="1"/>
    </xf>
    <xf numFmtId="0" fontId="5" fillId="0" borderId="14" xfId="0" applyFont="1" applyBorder="1" applyAlignment="1">
      <alignment horizontal="center"/>
    </xf>
    <xf numFmtId="44" fontId="4" fillId="4" borderId="14" xfId="1" applyFont="1" applyFill="1" applyBorder="1" applyAlignment="1">
      <alignment horizontal="left"/>
    </xf>
    <xf numFmtId="0" fontId="5" fillId="0" borderId="16" xfId="0" applyFont="1" applyBorder="1" applyAlignment="1">
      <alignment horizontal="center"/>
    </xf>
    <xf numFmtId="0" fontId="5" fillId="0" borderId="5" xfId="0" applyFont="1" applyBorder="1" applyAlignment="1">
      <alignment horizontal="center"/>
    </xf>
    <xf numFmtId="0" fontId="5" fillId="0" borderId="17" xfId="0" applyFont="1" applyBorder="1" applyAlignment="1">
      <alignment vertical="center" wrapText="1"/>
    </xf>
    <xf numFmtId="44" fontId="4" fillId="4" borderId="12" xfId="1" applyFont="1" applyFill="1" applyBorder="1" applyAlignment="1">
      <alignment horizontal="left"/>
    </xf>
    <xf numFmtId="0" fontId="5" fillId="0" borderId="18" xfId="0" applyFont="1" applyBorder="1" applyAlignment="1">
      <alignment horizontal="center"/>
    </xf>
    <xf numFmtId="0" fontId="5" fillId="0" borderId="12" xfId="0" applyFont="1" applyBorder="1" applyAlignment="1">
      <alignment horizontal="center"/>
    </xf>
    <xf numFmtId="0" fontId="4" fillId="0" borderId="19" xfId="0" applyFont="1" applyBorder="1" applyAlignment="1">
      <alignment vertical="center" wrapText="1"/>
    </xf>
    <xf numFmtId="44" fontId="5" fillId="0" borderId="18" xfId="1" applyFont="1" applyBorder="1" applyAlignment="1">
      <alignment horizontal="left"/>
    </xf>
    <xf numFmtId="0" fontId="5" fillId="0" borderId="20" xfId="0" applyFont="1" applyBorder="1" applyAlignment="1">
      <alignment horizontal="center"/>
    </xf>
    <xf numFmtId="0" fontId="4" fillId="0" borderId="16" xfId="0" applyFont="1" applyBorder="1"/>
    <xf numFmtId="0" fontId="4" fillId="0" borderId="21" xfId="0" applyFont="1" applyBorder="1"/>
    <xf numFmtId="0" fontId="5" fillId="0" borderId="23" xfId="0" applyFont="1" applyBorder="1" applyAlignment="1">
      <alignment horizontal="center"/>
    </xf>
    <xf numFmtId="44" fontId="5" fillId="0" borderId="16" xfId="1" applyFont="1" applyBorder="1" applyAlignment="1">
      <alignment horizontal="left"/>
    </xf>
    <xf numFmtId="0" fontId="5" fillId="0" borderId="24"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5" fillId="0" borderId="21" xfId="0" applyFont="1" applyBorder="1" applyAlignment="1">
      <alignment vertical="center" wrapText="1"/>
    </xf>
    <xf numFmtId="44" fontId="4" fillId="0" borderId="21" xfId="1" applyFont="1" applyBorder="1" applyAlignment="1">
      <alignment horizontal="left"/>
    </xf>
    <xf numFmtId="44" fontId="5" fillId="0" borderId="21" xfId="1" applyFont="1" applyBorder="1" applyAlignment="1">
      <alignment horizontal="left"/>
    </xf>
    <xf numFmtId="0" fontId="4" fillId="0" borderId="12" xfId="0" applyFont="1" applyBorder="1" applyAlignment="1">
      <alignmen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center"/>
    </xf>
    <xf numFmtId="0" fontId="5" fillId="0" borderId="25" xfId="0" applyFont="1" applyBorder="1" applyAlignment="1">
      <alignment horizontal="center"/>
    </xf>
    <xf numFmtId="44" fontId="4" fillId="2" borderId="21" xfId="1" applyFont="1" applyFill="1" applyBorder="1" applyAlignment="1">
      <alignment horizontal="left"/>
    </xf>
    <xf numFmtId="0" fontId="4" fillId="0" borderId="0" xfId="0" applyFont="1" applyAlignment="1">
      <alignment vertical="center" wrapText="1"/>
    </xf>
    <xf numFmtId="0" fontId="5" fillId="0" borderId="0" xfId="0" applyFont="1" applyAlignment="1">
      <alignment horizontal="center" vertical="center"/>
    </xf>
    <xf numFmtId="0" fontId="4" fillId="3" borderId="0" xfId="0" applyFont="1" applyFill="1"/>
    <xf numFmtId="43" fontId="4" fillId="0" borderId="0" xfId="3" applyFont="1"/>
    <xf numFmtId="43" fontId="4" fillId="0" borderId="0" xfId="0" applyNumberFormat="1" applyFont="1"/>
    <xf numFmtId="44" fontId="9" fillId="4" borderId="14" xfId="1" applyFont="1" applyFill="1" applyBorder="1" applyAlignment="1">
      <alignment horizontal="left"/>
    </xf>
    <xf numFmtId="44" fontId="9" fillId="2" borderId="21" xfId="1" applyFont="1" applyFill="1" applyBorder="1" applyAlignment="1">
      <alignment horizontal="left"/>
    </xf>
    <xf numFmtId="44" fontId="10" fillId="0" borderId="18" xfId="1" applyFont="1" applyBorder="1" applyAlignment="1">
      <alignment horizontal="left"/>
    </xf>
    <xf numFmtId="44" fontId="9" fillId="4" borderId="12" xfId="1" applyFont="1" applyFill="1" applyBorder="1" applyAlignment="1">
      <alignment horizontal="left"/>
    </xf>
    <xf numFmtId="44" fontId="10" fillId="0" borderId="16" xfId="1" applyFont="1" applyBorder="1" applyAlignment="1">
      <alignment horizontal="left"/>
    </xf>
    <xf numFmtId="44" fontId="10" fillId="0" borderId="21" xfId="1" applyFont="1" applyBorder="1" applyAlignment="1">
      <alignment horizontal="left"/>
    </xf>
    <xf numFmtId="44" fontId="9" fillId="0" borderId="21" xfId="1" applyFont="1" applyBorder="1" applyAlignment="1">
      <alignment horizontal="left"/>
    </xf>
    <xf numFmtId="43" fontId="4" fillId="0" borderId="0" xfId="3" applyFont="1" applyAlignment="1">
      <alignment horizontal="right"/>
    </xf>
    <xf numFmtId="44" fontId="4" fillId="0" borderId="0" xfId="1" applyFont="1"/>
    <xf numFmtId="0" fontId="4" fillId="0" borderId="0" xfId="0" applyFont="1" applyAlignment="1">
      <alignment horizontal="left" indent="2"/>
    </xf>
    <xf numFmtId="0" fontId="5" fillId="3" borderId="0" xfId="0" applyFont="1" applyFill="1"/>
    <xf numFmtId="0" fontId="5" fillId="3" borderId="0" xfId="0" applyFont="1" applyFill="1" applyAlignment="1">
      <alignment wrapText="1"/>
    </xf>
    <xf numFmtId="0" fontId="5" fillId="5" borderId="0" xfId="0" applyFont="1" applyFill="1"/>
    <xf numFmtId="164" fontId="9" fillId="0" borderId="0" xfId="2" applyNumberFormat="1" applyFont="1"/>
    <xf numFmtId="43" fontId="9" fillId="0" borderId="0" xfId="3" applyFont="1" applyFill="1"/>
    <xf numFmtId="0" fontId="4" fillId="0" borderId="0" xfId="0" applyFont="1" applyAlignment="1">
      <alignment wrapText="1"/>
    </xf>
    <xf numFmtId="0" fontId="4" fillId="0" borderId="0" xfId="0" applyFont="1" applyAlignment="1">
      <alignment horizontal="left" wrapText="1" indent="2"/>
    </xf>
    <xf numFmtId="0" fontId="5" fillId="6" borderId="0" xfId="0" applyFont="1" applyFill="1"/>
    <xf numFmtId="0" fontId="5" fillId="7" borderId="0" xfId="0" applyFont="1" applyFill="1"/>
    <xf numFmtId="4" fontId="9" fillId="0" borderId="0" xfId="2" applyNumberFormat="1" applyFont="1"/>
    <xf numFmtId="43" fontId="5" fillId="0" borderId="0" xfId="3" applyFont="1"/>
    <xf numFmtId="43" fontId="4" fillId="4" borderId="15" xfId="1" applyNumberFormat="1" applyFont="1" applyFill="1" applyBorder="1" applyAlignment="1">
      <alignment horizontal="left"/>
    </xf>
    <xf numFmtId="43" fontId="9" fillId="4" borderId="15" xfId="1" applyNumberFormat="1" applyFont="1" applyFill="1" applyBorder="1" applyAlignment="1">
      <alignment horizontal="left"/>
    </xf>
    <xf numFmtId="43" fontId="4" fillId="4" borderId="14" xfId="1" applyNumberFormat="1" applyFont="1" applyFill="1" applyBorder="1" applyAlignment="1">
      <alignment horizontal="left"/>
    </xf>
    <xf numFmtId="43" fontId="4" fillId="4" borderId="18" xfId="1" applyNumberFormat="1" applyFont="1" applyFill="1" applyBorder="1" applyAlignment="1">
      <alignment horizontal="left"/>
    </xf>
    <xf numFmtId="43" fontId="9" fillId="4" borderId="18" xfId="1" applyNumberFormat="1" applyFont="1" applyFill="1" applyBorder="1" applyAlignment="1">
      <alignment horizontal="left"/>
    </xf>
    <xf numFmtId="9" fontId="4" fillId="0" borderId="0" xfId="0" applyNumberFormat="1" applyFont="1" applyAlignment="1">
      <alignment horizontal="left"/>
    </xf>
    <xf numFmtId="0" fontId="4" fillId="0" borderId="0" xfId="0" applyFont="1" applyAlignment="1">
      <alignment horizontal="left"/>
    </xf>
    <xf numFmtId="0" fontId="7" fillId="0" borderId="0" xfId="0" applyFont="1" applyAlignment="1">
      <alignment horizontal="right" vertical="center" wrapText="1"/>
    </xf>
    <xf numFmtId="0" fontId="4" fillId="0" borderId="0" xfId="0" applyFont="1" applyAlignment="1">
      <alignment horizontal="left" vertical="center" wrapText="1"/>
    </xf>
    <xf numFmtId="0" fontId="13" fillId="0" borderId="0" xfId="0" applyFont="1" applyAlignment="1">
      <alignment horizontal="center" vertical="center"/>
    </xf>
    <xf numFmtId="44" fontId="6" fillId="0" borderId="0" xfId="1" applyFont="1"/>
    <xf numFmtId="0" fontId="5" fillId="0" borderId="0" xfId="0" applyFont="1" applyAlignment="1">
      <alignment horizontal="left" vertical="center" wrapText="1"/>
    </xf>
    <xf numFmtId="164" fontId="4" fillId="0" borderId="0" xfId="0" applyNumberFormat="1" applyFont="1"/>
    <xf numFmtId="0" fontId="14" fillId="0" borderId="0" xfId="0" applyFont="1" applyAlignment="1">
      <alignment horizontal="center"/>
    </xf>
    <xf numFmtId="43" fontId="4" fillId="0" borderId="0" xfId="3" applyFont="1" applyFill="1"/>
    <xf numFmtId="14" fontId="5" fillId="0" borderId="0" xfId="0" applyNumberFormat="1" applyFont="1" applyAlignment="1">
      <alignment horizontal="center"/>
    </xf>
    <xf numFmtId="44" fontId="6" fillId="0" borderId="0" xfId="1" applyFont="1" applyBorder="1"/>
    <xf numFmtId="0" fontId="5" fillId="0" borderId="29" xfId="0" applyFont="1" applyBorder="1" applyAlignment="1">
      <alignment horizontal="center"/>
    </xf>
    <xf numFmtId="0" fontId="5" fillId="0" borderId="26" xfId="0" applyFont="1" applyBorder="1" applyAlignment="1">
      <alignment vertical="center" wrapText="1"/>
    </xf>
    <xf numFmtId="44" fontId="5" fillId="0" borderId="26" xfId="1" applyFont="1" applyBorder="1" applyAlignment="1">
      <alignment horizontal="left"/>
    </xf>
    <xf numFmtId="44" fontId="10" fillId="0" borderId="26" xfId="1" applyFont="1" applyBorder="1" applyAlignment="1">
      <alignment horizontal="left"/>
    </xf>
    <xf numFmtId="0" fontId="4" fillId="0" borderId="11" xfId="0" applyFont="1" applyBorder="1"/>
    <xf numFmtId="44" fontId="5" fillId="0" borderId="6" xfId="1" applyFont="1" applyBorder="1" applyAlignment="1">
      <alignment horizontal="left"/>
    </xf>
    <xf numFmtId="44" fontId="5" fillId="0" borderId="30" xfId="1" applyFont="1" applyBorder="1" applyAlignment="1">
      <alignment horizontal="left"/>
    </xf>
    <xf numFmtId="164" fontId="4" fillId="0" borderId="31" xfId="2" applyNumberFormat="1" applyFont="1" applyBorder="1"/>
    <xf numFmtId="44" fontId="4" fillId="0" borderId="0" xfId="1" applyFont="1" applyFill="1" applyBorder="1"/>
    <xf numFmtId="43" fontId="4" fillId="0" borderId="0" xfId="3" applyFont="1" applyFill="1" applyBorder="1"/>
    <xf numFmtId="167" fontId="4" fillId="0" borderId="0" xfId="3" applyNumberFormat="1" applyFont="1" applyFill="1" applyBorder="1"/>
    <xf numFmtId="0" fontId="4" fillId="0" borderId="0" xfId="3" applyNumberFormat="1" applyFont="1" applyFill="1" applyBorder="1"/>
    <xf numFmtId="0" fontId="5" fillId="0" borderId="0" xfId="0" applyFont="1" applyAlignment="1">
      <alignment horizontal="right" wrapText="1"/>
    </xf>
    <xf numFmtId="44" fontId="5" fillId="8" borderId="3" xfId="1" applyFont="1" applyFill="1" applyBorder="1" applyAlignment="1">
      <alignment horizontal="left"/>
    </xf>
    <xf numFmtId="0" fontId="13" fillId="0" borderId="0" xfId="0" applyFont="1" applyAlignment="1">
      <alignment horizontal="right" vertical="center"/>
    </xf>
    <xf numFmtId="43" fontId="4" fillId="9" borderId="0" xfId="3" applyFont="1" applyFill="1"/>
    <xf numFmtId="166" fontId="9" fillId="9" borderId="0" xfId="4" applyNumberFormat="1" applyFont="1" applyFill="1"/>
    <xf numFmtId="0" fontId="4" fillId="9" borderId="0" xfId="0" applyFont="1" applyFill="1" applyAlignment="1">
      <alignment wrapText="1"/>
    </xf>
    <xf numFmtId="44" fontId="6" fillId="9" borderId="0" xfId="1" applyFont="1" applyFill="1"/>
    <xf numFmtId="44" fontId="4" fillId="9" borderId="0" xfId="0" applyNumberFormat="1" applyFont="1" applyFill="1"/>
    <xf numFmtId="10" fontId="9" fillId="9" borderId="0" xfId="4" applyNumberFormat="1" applyFont="1" applyFill="1"/>
    <xf numFmtId="10" fontId="4" fillId="0" borderId="0" xfId="0" applyNumberFormat="1" applyFont="1"/>
    <xf numFmtId="0" fontId="11" fillId="0" borderId="0" xfId="0" applyFont="1" applyAlignment="1">
      <alignment horizontal="center" vertical="center"/>
    </xf>
    <xf numFmtId="0" fontId="12" fillId="0" borderId="0" xfId="0" applyFont="1"/>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27" xfId="0" applyFont="1" applyBorder="1" applyAlignment="1">
      <alignment horizontal="center" vertical="center"/>
    </xf>
    <xf numFmtId="0" fontId="8" fillId="3" borderId="8" xfId="0" applyFont="1" applyFill="1" applyBorder="1" applyAlignment="1">
      <alignment horizontal="left" vertical="center" wrapText="1"/>
    </xf>
    <xf numFmtId="0" fontId="8" fillId="3" borderId="28" xfId="0" applyFont="1" applyFill="1" applyBorder="1" applyAlignment="1">
      <alignment horizontal="left" vertical="center" wrapText="1"/>
    </xf>
  </cellXfs>
  <cellStyles count="5">
    <cellStyle name="Comma" xfId="3" builtinId="3"/>
    <cellStyle name="Currency" xfId="1" builtinId="4"/>
    <cellStyle name="Normal" xfId="0" builtinId="0"/>
    <cellStyle name="Normal 2" xfId="2" xr:uid="{00000000-0005-0000-0000-000002000000}"/>
    <cellStyle name="Percent" xfId="4" builtinId="5"/>
  </cellStyles>
  <dxfs count="5">
    <dxf>
      <font>
        <b val="0"/>
        <i/>
      </font>
    </dxf>
    <dxf>
      <font>
        <b val="0"/>
        <i/>
      </font>
    </dxf>
    <dxf>
      <font>
        <b val="0"/>
        <i/>
      </font>
    </dxf>
    <dxf>
      <font>
        <b val="0"/>
        <i/>
      </font>
    </dxf>
    <dxf>
      <font>
        <b val="0"/>
        <i/>
      </font>
    </dxf>
  </dxfs>
  <tableStyles count="0" defaultTableStyle="TableStyleMedium2" defaultPivotStyle="PivotStyleLight16"/>
  <colors>
    <mruColors>
      <color rgb="FFB2B2B2"/>
      <color rgb="FFFF33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226219</xdr:colOff>
      <xdr:row>0</xdr:row>
      <xdr:rowOff>95250</xdr:rowOff>
    </xdr:from>
    <xdr:to>
      <xdr:col>1</xdr:col>
      <xdr:colOff>2340769</xdr:colOff>
      <xdr:row>3</xdr:row>
      <xdr:rowOff>231312</xdr:rowOff>
    </xdr:to>
    <xdr:pic>
      <xdr:nvPicPr>
        <xdr:cNvPr id="4" name="Picture 3" descr="https://s3.amazonaws.com/web.ucf.edu/uid/planning-design-and-construction/planning-design-and-construction.png">
          <a:extLst>
            <a:ext uri="{FF2B5EF4-FFF2-40B4-BE49-F238E27FC236}">
              <a16:creationId xmlns:a16="http://schemas.microsoft.com/office/drawing/2014/main" id="{A061E22F-E483-491D-BFF4-6537891E55C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219" y="95250"/>
          <a:ext cx="2495550" cy="6361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940E0-4500-4DEF-8CEF-E863A776EE83}">
  <sheetPr>
    <tabColor theme="4" tint="0.79998168889431442"/>
    <pageSetUpPr fitToPage="1"/>
  </sheetPr>
  <dimension ref="A1:P58"/>
  <sheetViews>
    <sheetView showGridLines="0" tabSelected="1" zoomScale="80" zoomScaleNormal="80" zoomScaleSheetLayoutView="110" zoomScalePageLayoutView="115" workbookViewId="0">
      <selection activeCell="B6" sqref="B6"/>
    </sheetView>
  </sheetViews>
  <sheetFormatPr defaultColWidth="9.140625" defaultRowHeight="12.75" outlineLevelRow="1" x14ac:dyDescent="0.2"/>
  <cols>
    <col min="1" max="1" width="5.7109375" style="1" customWidth="1"/>
    <col min="2" max="2" width="59.7109375" style="1" customWidth="1"/>
    <col min="3" max="3" width="16.5703125" style="1" customWidth="1"/>
    <col min="4" max="7" width="14.5703125" style="1" customWidth="1"/>
    <col min="8" max="8" width="1.85546875" style="1" customWidth="1"/>
    <col min="9" max="9" width="16.5703125" style="1" customWidth="1"/>
    <col min="10" max="10" width="88.85546875" style="1" customWidth="1"/>
    <col min="11" max="11" width="14.28515625" style="1" bestFit="1" customWidth="1"/>
    <col min="12" max="12" width="14" style="1" bestFit="1" customWidth="1"/>
    <col min="13" max="13" width="14.28515625" style="1" bestFit="1" customWidth="1"/>
    <col min="14" max="15" width="9.140625" style="1"/>
    <col min="16" max="16" width="11" style="1" bestFit="1" customWidth="1"/>
    <col min="17" max="16384" width="9.140625" style="1"/>
  </cols>
  <sheetData>
    <row r="1" spans="1:11" x14ac:dyDescent="0.2">
      <c r="C1" s="18"/>
      <c r="D1" s="18"/>
      <c r="E1" s="18"/>
      <c r="F1" s="18"/>
      <c r="G1" s="18" t="s">
        <v>9</v>
      </c>
      <c r="H1" s="18"/>
      <c r="I1" s="26">
        <f ca="1">TODAY()</f>
        <v>45691</v>
      </c>
      <c r="J1" s="100" t="s">
        <v>67</v>
      </c>
    </row>
    <row r="2" spans="1:11" x14ac:dyDescent="0.2">
      <c r="C2" s="18"/>
      <c r="D2" s="18"/>
      <c r="E2" s="18"/>
      <c r="F2" s="18"/>
      <c r="G2" s="18" t="s">
        <v>10</v>
      </c>
      <c r="H2" s="18"/>
      <c r="I2" s="24"/>
      <c r="J2" s="9" t="s">
        <v>66</v>
      </c>
    </row>
    <row r="3" spans="1:11" x14ac:dyDescent="0.2">
      <c r="B3" s="18"/>
      <c r="G3" s="18"/>
      <c r="H3" s="18"/>
      <c r="I3" s="9"/>
    </row>
    <row r="4" spans="1:11" ht="26.25" customHeight="1" thickBot="1" x14ac:dyDescent="0.3">
      <c r="A4" s="126" t="s">
        <v>90</v>
      </c>
      <c r="B4" s="127"/>
      <c r="C4" s="127"/>
      <c r="D4" s="127"/>
      <c r="E4" s="127"/>
      <c r="F4" s="127"/>
      <c r="G4" s="127"/>
      <c r="H4" s="127"/>
      <c r="I4" s="127"/>
    </row>
    <row r="5" spans="1:11" ht="25.5" customHeight="1" thickBot="1" x14ac:dyDescent="0.25">
      <c r="A5" s="128" t="s">
        <v>11</v>
      </c>
      <c r="B5" s="129"/>
      <c r="C5" s="130"/>
      <c r="D5" s="130"/>
      <c r="E5" s="130"/>
      <c r="F5" s="130"/>
      <c r="G5" s="130"/>
      <c r="H5" s="130"/>
      <c r="I5" s="130"/>
      <c r="J5" s="9"/>
    </row>
    <row r="6" spans="1:11" ht="24.75" customHeight="1" outlineLevel="1" x14ac:dyDescent="0.2">
      <c r="A6" s="62"/>
      <c r="B6" s="116" t="s">
        <v>81</v>
      </c>
      <c r="C6" s="23" t="s">
        <v>7</v>
      </c>
      <c r="D6" s="23" t="s">
        <v>7</v>
      </c>
      <c r="E6" s="23" t="s">
        <v>7</v>
      </c>
      <c r="F6" s="23" t="s">
        <v>7</v>
      </c>
      <c r="G6" s="23" t="s">
        <v>7</v>
      </c>
      <c r="H6" s="18"/>
      <c r="I6" s="62"/>
      <c r="J6" s="98" t="s">
        <v>42</v>
      </c>
    </row>
    <row r="7" spans="1:11" ht="22.5" customHeight="1" outlineLevel="1" x14ac:dyDescent="0.2">
      <c r="A7" s="62"/>
      <c r="B7" s="116" t="s">
        <v>82</v>
      </c>
      <c r="C7" s="23" t="s">
        <v>7</v>
      </c>
      <c r="D7" s="23" t="s">
        <v>7</v>
      </c>
      <c r="E7" s="23" t="s">
        <v>7</v>
      </c>
      <c r="F7" s="23" t="s">
        <v>7</v>
      </c>
      <c r="G7" s="23" t="s">
        <v>7</v>
      </c>
      <c r="H7" s="18"/>
      <c r="I7" s="62"/>
      <c r="J7" s="98" t="s">
        <v>41</v>
      </c>
    </row>
    <row r="8" spans="1:11" ht="45" outlineLevel="1" x14ac:dyDescent="0.2">
      <c r="A8" s="62"/>
      <c r="B8" s="116" t="s">
        <v>83</v>
      </c>
      <c r="C8" s="23" t="s">
        <v>76</v>
      </c>
      <c r="D8" s="23" t="s">
        <v>76</v>
      </c>
      <c r="E8" s="23" t="s">
        <v>76</v>
      </c>
      <c r="F8" s="23" t="s">
        <v>76</v>
      </c>
      <c r="G8" s="23" t="s">
        <v>76</v>
      </c>
      <c r="H8" s="62"/>
      <c r="I8" s="62"/>
      <c r="J8" s="95" t="s">
        <v>77</v>
      </c>
    </row>
    <row r="9" spans="1:11" x14ac:dyDescent="0.2">
      <c r="A9" s="62"/>
      <c r="B9" s="118" t="s">
        <v>64</v>
      </c>
      <c r="C9" s="102"/>
      <c r="D9" s="102"/>
      <c r="E9" s="102"/>
      <c r="F9" s="102"/>
      <c r="G9" s="102"/>
      <c r="H9" s="62"/>
      <c r="I9" s="62"/>
      <c r="J9" s="9"/>
    </row>
    <row r="10" spans="1:11" ht="20.25" customHeight="1" x14ac:dyDescent="0.2">
      <c r="A10" s="62"/>
      <c r="B10" s="118" t="s">
        <v>27</v>
      </c>
      <c r="C10" s="62">
        <v>1</v>
      </c>
      <c r="D10" s="62">
        <v>2</v>
      </c>
      <c r="E10" s="62">
        <v>3</v>
      </c>
      <c r="F10" s="62">
        <v>4</v>
      </c>
      <c r="G10" s="62">
        <v>5</v>
      </c>
      <c r="H10" s="96"/>
      <c r="I10" s="96" t="s">
        <v>29</v>
      </c>
      <c r="K10" s="96" t="s">
        <v>89</v>
      </c>
    </row>
    <row r="11" spans="1:11" x14ac:dyDescent="0.2">
      <c r="A11" s="58"/>
      <c r="B11" s="31" t="s">
        <v>1</v>
      </c>
      <c r="C11" s="35">
        <v>0</v>
      </c>
      <c r="D11" s="35">
        <v>0</v>
      </c>
      <c r="E11" s="35">
        <v>0</v>
      </c>
      <c r="F11" s="35">
        <v>0</v>
      </c>
      <c r="G11" s="35">
        <v>0</v>
      </c>
      <c r="H11" s="35"/>
      <c r="I11" s="66">
        <f>SUM(C11:G11)</f>
        <v>0</v>
      </c>
    </row>
    <row r="12" spans="1:11" x14ac:dyDescent="0.2">
      <c r="A12" s="32"/>
      <c r="B12" s="33" t="s">
        <v>25</v>
      </c>
      <c r="C12" s="87">
        <v>0</v>
      </c>
      <c r="D12" s="87">
        <v>0</v>
      </c>
      <c r="E12" s="87">
        <v>0</v>
      </c>
      <c r="F12" s="87">
        <v>0</v>
      </c>
      <c r="G12" s="87">
        <v>0</v>
      </c>
      <c r="H12" s="87"/>
      <c r="I12" s="88">
        <f t="shared" ref="I12:I13" si="0">SUM(C12:G12)</f>
        <v>0</v>
      </c>
    </row>
    <row r="13" spans="1:11" ht="13.5" thickBot="1" x14ac:dyDescent="0.25">
      <c r="A13" s="36"/>
      <c r="B13" s="33" t="s">
        <v>26</v>
      </c>
      <c r="C13" s="87">
        <v>0</v>
      </c>
      <c r="D13" s="87">
        <v>0</v>
      </c>
      <c r="E13" s="87">
        <v>0</v>
      </c>
      <c r="F13" s="87">
        <v>0</v>
      </c>
      <c r="G13" s="87">
        <v>0</v>
      </c>
      <c r="H13" s="87"/>
      <c r="I13" s="88">
        <f t="shared" si="0"/>
        <v>0</v>
      </c>
    </row>
    <row r="14" spans="1:11" ht="14.25" thickTop="1" thickBot="1" x14ac:dyDescent="0.25">
      <c r="A14" s="37"/>
      <c r="B14" s="38" t="s">
        <v>19</v>
      </c>
      <c r="C14" s="43">
        <f t="shared" ref="C14:I14" si="1">SUM(C11:C13)</f>
        <v>0</v>
      </c>
      <c r="D14" s="43">
        <f t="shared" si="1"/>
        <v>0</v>
      </c>
      <c r="E14" s="43">
        <f t="shared" si="1"/>
        <v>0</v>
      </c>
      <c r="F14" s="43">
        <f t="shared" si="1"/>
        <v>0</v>
      </c>
      <c r="G14" s="43">
        <f t="shared" si="1"/>
        <v>0</v>
      </c>
      <c r="H14" s="43"/>
      <c r="I14" s="68">
        <f t="shared" si="1"/>
        <v>0</v>
      </c>
    </row>
    <row r="15" spans="1:11" ht="14.25" thickTop="1" thickBot="1" x14ac:dyDescent="0.25">
      <c r="A15" s="40"/>
      <c r="B15" s="42"/>
      <c r="C15" s="60"/>
      <c r="D15" s="60"/>
      <c r="E15" s="60"/>
      <c r="F15" s="60"/>
      <c r="G15" s="60"/>
      <c r="H15" s="60"/>
      <c r="I15" s="67"/>
    </row>
    <row r="16" spans="1:11" ht="13.5" thickTop="1" x14ac:dyDescent="0.2">
      <c r="A16" s="41"/>
      <c r="B16" s="55" t="s">
        <v>46</v>
      </c>
      <c r="C16" s="35">
        <v>0</v>
      </c>
      <c r="D16" s="35">
        <v>0</v>
      </c>
      <c r="E16" s="35">
        <v>0</v>
      </c>
      <c r="F16" s="35">
        <v>0</v>
      </c>
      <c r="G16" s="35">
        <v>0</v>
      </c>
      <c r="H16" s="35"/>
      <c r="I16" s="66">
        <f>SUM(C16:G16)-SUMIFS(C16:G16,C$8:G$8,"Design")</f>
        <v>0</v>
      </c>
    </row>
    <row r="17" spans="1:12" ht="15" x14ac:dyDescent="0.2">
      <c r="A17" s="32"/>
      <c r="B17" s="33" t="s">
        <v>47</v>
      </c>
      <c r="C17" s="89">
        <v>0</v>
      </c>
      <c r="D17" s="89">
        <v>0</v>
      </c>
      <c r="E17" s="89">
        <v>0</v>
      </c>
      <c r="F17" s="89">
        <v>0</v>
      </c>
      <c r="G17" s="89">
        <v>0</v>
      </c>
      <c r="H17" s="87"/>
      <c r="I17" s="88">
        <f t="shared" ref="I17:I20" si="2">SUM(C17:G17)-SUMIFS(C17:G17,C$8:G$8,"Design")</f>
        <v>0</v>
      </c>
      <c r="L17" s="4"/>
    </row>
    <row r="18" spans="1:12" ht="15" x14ac:dyDescent="0.2">
      <c r="A18" s="32"/>
      <c r="B18" s="33" t="s">
        <v>48</v>
      </c>
      <c r="C18" s="89">
        <v>0</v>
      </c>
      <c r="D18" s="89">
        <v>0</v>
      </c>
      <c r="E18" s="89">
        <v>0</v>
      </c>
      <c r="F18" s="89">
        <v>0</v>
      </c>
      <c r="G18" s="89">
        <v>0</v>
      </c>
      <c r="H18" s="87"/>
      <c r="I18" s="88">
        <f t="shared" si="2"/>
        <v>0</v>
      </c>
      <c r="L18" s="7"/>
    </row>
    <row r="19" spans="1:12" ht="15" x14ac:dyDescent="0.2">
      <c r="A19" s="32"/>
      <c r="B19" s="33" t="s">
        <v>49</v>
      </c>
      <c r="C19" s="89">
        <v>0</v>
      </c>
      <c r="D19" s="89">
        <v>0</v>
      </c>
      <c r="E19" s="89">
        <v>0</v>
      </c>
      <c r="F19" s="89">
        <v>0</v>
      </c>
      <c r="G19" s="89">
        <v>0</v>
      </c>
      <c r="H19" s="87"/>
      <c r="I19" s="88">
        <f t="shared" si="2"/>
        <v>0</v>
      </c>
      <c r="L19" s="7"/>
    </row>
    <row r="20" spans="1:12" ht="15.75" thickBot="1" x14ac:dyDescent="0.25">
      <c r="A20" s="36"/>
      <c r="B20" s="33" t="s">
        <v>50</v>
      </c>
      <c r="C20" s="89">
        <v>0</v>
      </c>
      <c r="D20" s="89">
        <v>0</v>
      </c>
      <c r="E20" s="89">
        <v>0</v>
      </c>
      <c r="F20" s="89">
        <v>0</v>
      </c>
      <c r="G20" s="89">
        <v>0</v>
      </c>
      <c r="H20" s="87"/>
      <c r="I20" s="88">
        <f t="shared" si="2"/>
        <v>0</v>
      </c>
      <c r="L20" s="7"/>
    </row>
    <row r="21" spans="1:12" ht="16.5" thickTop="1" thickBot="1" x14ac:dyDescent="0.25">
      <c r="A21" s="37"/>
      <c r="B21" s="38" t="s">
        <v>0</v>
      </c>
      <c r="C21" s="43">
        <f t="shared" ref="C21:I21" si="3">SUM(C16:C20)</f>
        <v>0</v>
      </c>
      <c r="D21" s="43">
        <f t="shared" si="3"/>
        <v>0</v>
      </c>
      <c r="E21" s="43">
        <f t="shared" si="3"/>
        <v>0</v>
      </c>
      <c r="F21" s="43">
        <f t="shared" si="3"/>
        <v>0</v>
      </c>
      <c r="G21" s="43">
        <f t="shared" si="3"/>
        <v>0</v>
      </c>
      <c r="H21" s="43"/>
      <c r="I21" s="68">
        <f t="shared" si="3"/>
        <v>0</v>
      </c>
      <c r="L21" s="4"/>
    </row>
    <row r="22" spans="1:12" ht="16.5" thickTop="1" thickBot="1" x14ac:dyDescent="0.25">
      <c r="A22" s="40"/>
      <c r="B22" s="50"/>
      <c r="C22" s="60"/>
      <c r="D22" s="60"/>
      <c r="E22" s="60"/>
      <c r="F22" s="60"/>
      <c r="G22" s="60"/>
      <c r="H22" s="60"/>
      <c r="I22" s="67"/>
      <c r="L22" s="5"/>
    </row>
    <row r="23" spans="1:12" ht="13.5" customHeight="1" thickTop="1" x14ac:dyDescent="0.2">
      <c r="A23" s="41"/>
      <c r="B23" s="56" t="s">
        <v>51</v>
      </c>
      <c r="C23" s="35">
        <v>0</v>
      </c>
      <c r="D23" s="35">
        <v>0</v>
      </c>
      <c r="E23" s="35">
        <v>0</v>
      </c>
      <c r="F23" s="35">
        <v>0</v>
      </c>
      <c r="G23" s="35">
        <v>0</v>
      </c>
      <c r="H23" s="39"/>
      <c r="I23" s="69">
        <f t="shared" ref="I23:I27" si="4">SUM(C23:G23)-SUMIFS(C23:G23,C$8:G$8,"Design")</f>
        <v>0</v>
      </c>
      <c r="L23" s="6"/>
    </row>
    <row r="24" spans="1:12" ht="15" x14ac:dyDescent="0.2">
      <c r="A24" s="32"/>
      <c r="B24" s="33" t="s">
        <v>52</v>
      </c>
      <c r="C24" s="89">
        <v>0</v>
      </c>
      <c r="D24" s="89">
        <v>0</v>
      </c>
      <c r="E24" s="89">
        <v>0</v>
      </c>
      <c r="F24" s="89">
        <v>0</v>
      </c>
      <c r="G24" s="89">
        <v>0</v>
      </c>
      <c r="H24" s="87"/>
      <c r="I24" s="88">
        <f t="shared" si="4"/>
        <v>0</v>
      </c>
      <c r="L24" s="6"/>
    </row>
    <row r="25" spans="1:12" ht="15" x14ac:dyDescent="0.2">
      <c r="A25" s="32"/>
      <c r="B25" s="57" t="s">
        <v>53</v>
      </c>
      <c r="C25" s="89">
        <v>0</v>
      </c>
      <c r="D25" s="89">
        <v>0</v>
      </c>
      <c r="E25" s="89">
        <v>0</v>
      </c>
      <c r="F25" s="89">
        <v>0</v>
      </c>
      <c r="G25" s="89">
        <v>0</v>
      </c>
      <c r="H25" s="87"/>
      <c r="I25" s="88">
        <f t="shared" si="4"/>
        <v>0</v>
      </c>
      <c r="L25" s="6"/>
    </row>
    <row r="26" spans="1:12" ht="15" x14ac:dyDescent="0.2">
      <c r="A26" s="32"/>
      <c r="B26" s="33" t="s">
        <v>54</v>
      </c>
      <c r="C26" s="89">
        <v>0</v>
      </c>
      <c r="D26" s="89">
        <v>0</v>
      </c>
      <c r="E26" s="89">
        <v>0</v>
      </c>
      <c r="F26" s="89">
        <v>0</v>
      </c>
      <c r="G26" s="89">
        <v>0</v>
      </c>
      <c r="H26" s="87"/>
      <c r="I26" s="88">
        <f t="shared" si="4"/>
        <v>0</v>
      </c>
      <c r="L26" s="6"/>
    </row>
    <row r="27" spans="1:12" ht="15.75" thickBot="1" x14ac:dyDescent="0.25">
      <c r="A27" s="40"/>
      <c r="B27" s="33" t="s">
        <v>55</v>
      </c>
      <c r="C27" s="89">
        <v>0</v>
      </c>
      <c r="D27" s="89">
        <v>0</v>
      </c>
      <c r="E27" s="89">
        <v>0</v>
      </c>
      <c r="F27" s="89">
        <v>0</v>
      </c>
      <c r="G27" s="89">
        <v>0</v>
      </c>
      <c r="H27" s="87"/>
      <c r="I27" s="88">
        <f t="shared" si="4"/>
        <v>0</v>
      </c>
      <c r="L27" s="6"/>
    </row>
    <row r="28" spans="1:12" ht="16.5" thickTop="1" thickBot="1" x14ac:dyDescent="0.25">
      <c r="A28" s="44"/>
      <c r="B28" s="38" t="s">
        <v>24</v>
      </c>
      <c r="C28" s="43">
        <f t="shared" ref="C28:I28" si="5">SUM(C23:C27)</f>
        <v>0</v>
      </c>
      <c r="D28" s="43">
        <f t="shared" si="5"/>
        <v>0</v>
      </c>
      <c r="E28" s="43">
        <f t="shared" si="5"/>
        <v>0</v>
      </c>
      <c r="F28" s="43">
        <f t="shared" si="5"/>
        <v>0</v>
      </c>
      <c r="G28" s="43">
        <f t="shared" si="5"/>
        <v>0</v>
      </c>
      <c r="H28" s="43"/>
      <c r="I28" s="68">
        <f t="shared" si="5"/>
        <v>0</v>
      </c>
      <c r="L28" s="7"/>
    </row>
    <row r="29" spans="1:12" ht="16.5" thickTop="1" thickBot="1" x14ac:dyDescent="0.25">
      <c r="A29" s="45"/>
      <c r="B29" s="46"/>
      <c r="C29" s="60"/>
      <c r="D29" s="60"/>
      <c r="E29" s="60"/>
      <c r="F29" s="60"/>
      <c r="G29" s="60"/>
      <c r="H29" s="60"/>
      <c r="I29" s="67"/>
      <c r="L29" s="7"/>
    </row>
    <row r="30" spans="1:12" ht="13.5" customHeight="1" thickTop="1" x14ac:dyDescent="0.2">
      <c r="A30" s="34"/>
      <c r="B30" s="31" t="s">
        <v>56</v>
      </c>
      <c r="C30" s="35">
        <v>0</v>
      </c>
      <c r="D30" s="35">
        <v>0</v>
      </c>
      <c r="E30" s="35">
        <v>0</v>
      </c>
      <c r="F30" s="35">
        <v>0</v>
      </c>
      <c r="G30" s="35">
        <v>0</v>
      </c>
      <c r="H30" s="39"/>
      <c r="I30" s="69">
        <f t="shared" ref="I30:I32" si="6">SUM(C30:G30)-SUMIFS(C30:G30,C$8:G$8,"Design")</f>
        <v>0</v>
      </c>
      <c r="L30" s="6"/>
    </row>
    <row r="31" spans="1:12" ht="13.5" customHeight="1" x14ac:dyDescent="0.2">
      <c r="A31" s="40"/>
      <c r="B31" s="33" t="s">
        <v>57</v>
      </c>
      <c r="C31" s="89">
        <f>ROUND(IF(C$6="No",0,IF(C$8="Design",'Calc Sheet'!B6,'Calc Sheet'!B11)),2)</f>
        <v>0</v>
      </c>
      <c r="D31" s="89">
        <f>ROUND(IF(D$6="No",0,IF(D$8="Design",'Calc Sheet'!C6-'Calc Sheet'!B6,'Calc Sheet'!C11-'Calc Sheet'!B11)),2)</f>
        <v>0</v>
      </c>
      <c r="E31" s="89">
        <f>ROUND(IF(E$6="No",0,IF(E$8="Design",'Calc Sheet'!D6-'Calc Sheet'!C6,'Calc Sheet'!D11-'Calc Sheet'!C11)),2)</f>
        <v>0</v>
      </c>
      <c r="F31" s="89">
        <f>ROUND(IF(F$6="No",0,IF(F$8="Design",'Calc Sheet'!E6-'Calc Sheet'!D6,'Calc Sheet'!E11-'Calc Sheet'!D11)),2)</f>
        <v>0</v>
      </c>
      <c r="G31" s="89">
        <f>ROUND(IF(G$6="No",0,IF(G$8="Design",'Calc Sheet'!F6-'Calc Sheet'!E6,'Calc Sheet'!F11-'Calc Sheet'!E11)),2)</f>
        <v>0</v>
      </c>
      <c r="H31" s="87"/>
      <c r="I31" s="88">
        <f t="shared" si="6"/>
        <v>0</v>
      </c>
      <c r="J31" s="19" t="s">
        <v>69</v>
      </c>
      <c r="L31" s="6"/>
    </row>
    <row r="32" spans="1:12" ht="13.5" customHeight="1" thickBot="1" x14ac:dyDescent="0.25">
      <c r="A32" s="59"/>
      <c r="B32" s="33" t="s">
        <v>58</v>
      </c>
      <c r="C32" s="89">
        <f>ROUND(IF(C$7="No",0,IF(C$8="Design",'Calc Sheet'!B7,'Calc Sheet'!B12)),2)</f>
        <v>0</v>
      </c>
      <c r="D32" s="89">
        <f>ROUND(IF(D$7="No",0,IF(D$8="Design",'Calc Sheet'!C7-'Calc Sheet'!B7,'Calc Sheet'!C12-'Calc Sheet'!B12)),2)</f>
        <v>0</v>
      </c>
      <c r="E32" s="89">
        <f>ROUND(IF(E$7="No",0,IF(E$8="Design",'Calc Sheet'!D7-'Calc Sheet'!C7,'Calc Sheet'!D12-'Calc Sheet'!C12)),2)</f>
        <v>0</v>
      </c>
      <c r="F32" s="89">
        <f>ROUND(IF(F$7="No",0,IF(F$8="Design",'Calc Sheet'!E7-'Calc Sheet'!D7,'Calc Sheet'!E12-'Calc Sheet'!D12)),2)</f>
        <v>0</v>
      </c>
      <c r="G32" s="89">
        <f>ROUND(IF(G$7="No",0,IF(G$8="Design",'Calc Sheet'!F7-'Calc Sheet'!E7,'Calc Sheet'!F12-'Calc Sheet'!E12)),2)</f>
        <v>0</v>
      </c>
      <c r="H32" s="90"/>
      <c r="I32" s="91">
        <f t="shared" si="6"/>
        <v>0</v>
      </c>
      <c r="J32" s="19" t="s">
        <v>69</v>
      </c>
      <c r="L32" s="6"/>
    </row>
    <row r="33" spans="1:16" ht="13.5" customHeight="1" thickTop="1" thickBot="1" x14ac:dyDescent="0.25">
      <c r="A33" s="47"/>
      <c r="B33" s="30" t="s">
        <v>20</v>
      </c>
      <c r="C33" s="43">
        <f t="shared" ref="C33:I33" si="7">SUM(C30:C32)</f>
        <v>0</v>
      </c>
      <c r="D33" s="43">
        <f t="shared" si="7"/>
        <v>0</v>
      </c>
      <c r="E33" s="43">
        <f t="shared" si="7"/>
        <v>0</v>
      </c>
      <c r="F33" s="43">
        <f t="shared" si="7"/>
        <v>0</v>
      </c>
      <c r="G33" s="43">
        <f t="shared" si="7"/>
        <v>0</v>
      </c>
      <c r="H33" s="43"/>
      <c r="I33" s="68">
        <f t="shared" si="7"/>
        <v>0</v>
      </c>
      <c r="L33" s="6"/>
    </row>
    <row r="34" spans="1:16" ht="13.5" customHeight="1" thickTop="1" thickBot="1" x14ac:dyDescent="0.25">
      <c r="A34" s="36"/>
      <c r="B34" s="51"/>
      <c r="C34" s="60"/>
      <c r="D34" s="60"/>
      <c r="E34" s="60"/>
      <c r="F34" s="60"/>
      <c r="G34" s="60"/>
      <c r="H34" s="60"/>
      <c r="I34" s="67"/>
      <c r="L34" s="6"/>
    </row>
    <row r="35" spans="1:16" ht="15.75" thickTop="1" x14ac:dyDescent="0.2">
      <c r="A35" s="34"/>
      <c r="B35" s="55" t="s">
        <v>59</v>
      </c>
      <c r="C35" s="35">
        <v>0</v>
      </c>
      <c r="D35" s="35">
        <v>0</v>
      </c>
      <c r="E35" s="35">
        <v>0</v>
      </c>
      <c r="F35" s="35">
        <v>0</v>
      </c>
      <c r="G35" s="35">
        <v>0</v>
      </c>
      <c r="H35" s="39"/>
      <c r="I35" s="69">
        <f t="shared" ref="I35:I37" si="8">SUM(C35:G35)-SUMIFS(C35:G35,C$8:G$8,"Design")</f>
        <v>0</v>
      </c>
      <c r="L35" s="7"/>
    </row>
    <row r="36" spans="1:16" ht="15" x14ac:dyDescent="0.2">
      <c r="A36" s="32"/>
      <c r="B36" s="33" t="s">
        <v>60</v>
      </c>
      <c r="C36" s="89">
        <v>0</v>
      </c>
      <c r="D36" s="89">
        <v>0</v>
      </c>
      <c r="E36" s="89">
        <v>0</v>
      </c>
      <c r="F36" s="89">
        <v>0</v>
      </c>
      <c r="G36" s="89">
        <v>0</v>
      </c>
      <c r="H36" s="87"/>
      <c r="I36" s="88">
        <f t="shared" si="8"/>
        <v>0</v>
      </c>
      <c r="L36" s="7"/>
    </row>
    <row r="37" spans="1:16" ht="15.75" thickBot="1" x14ac:dyDescent="0.25">
      <c r="A37" s="40"/>
      <c r="B37" s="33" t="s">
        <v>61</v>
      </c>
      <c r="C37" s="89">
        <v>0</v>
      </c>
      <c r="D37" s="89">
        <v>0</v>
      </c>
      <c r="E37" s="89">
        <v>0</v>
      </c>
      <c r="F37" s="89">
        <v>0</v>
      </c>
      <c r="G37" s="89">
        <v>0</v>
      </c>
      <c r="H37" s="87"/>
      <c r="I37" s="88">
        <f t="shared" si="8"/>
        <v>0</v>
      </c>
      <c r="L37" s="7"/>
    </row>
    <row r="38" spans="1:16" ht="16.5" thickTop="1" thickBot="1" x14ac:dyDescent="0.25">
      <c r="A38" s="44"/>
      <c r="B38" s="38" t="s">
        <v>21</v>
      </c>
      <c r="C38" s="43">
        <f t="shared" ref="C38:I38" si="9">SUM(C35:C37)</f>
        <v>0</v>
      </c>
      <c r="D38" s="43">
        <f t="shared" si="9"/>
        <v>0</v>
      </c>
      <c r="E38" s="43">
        <f t="shared" si="9"/>
        <v>0</v>
      </c>
      <c r="F38" s="43">
        <f t="shared" si="9"/>
        <v>0</v>
      </c>
      <c r="G38" s="43">
        <f t="shared" si="9"/>
        <v>0</v>
      </c>
      <c r="H38" s="48"/>
      <c r="I38" s="70">
        <f t="shared" si="9"/>
        <v>0</v>
      </c>
      <c r="L38" s="7"/>
    </row>
    <row r="39" spans="1:16" ht="16.5" thickTop="1" thickBot="1" x14ac:dyDescent="0.25">
      <c r="A39" s="36"/>
      <c r="B39" s="52"/>
      <c r="C39" s="54"/>
      <c r="D39" s="54"/>
      <c r="E39" s="54"/>
      <c r="F39" s="54"/>
      <c r="G39" s="54"/>
      <c r="H39" s="54"/>
      <c r="I39" s="71"/>
      <c r="L39" s="7"/>
    </row>
    <row r="40" spans="1:16" ht="15.75" thickTop="1" x14ac:dyDescent="0.2">
      <c r="A40" s="34"/>
      <c r="B40" s="31" t="str">
        <f>IF(C8="tech fee", "PD&amp;C Project Management Fees for Design Phase ~ - Not used","PD&amp;C Project Management Fees for Design Phase ~")</f>
        <v>PD&amp;C Project Management Fees for Design Phase ~</v>
      </c>
      <c r="C40" s="66">
        <f>ROUND(IF(C$8="-",0,IF(C$8="Tech Fee", 0,IF(C$8="Design",'Calc Sheet'!B42,'Calc Sheet'!B48))),2)</f>
        <v>0</v>
      </c>
      <c r="D40" s="66">
        <f>ROUND(IF(D$8="-",0,IF(D$8="Tech Fee",0,IF(D$8="Design",'Calc Sheet'!C42-'Calc Sheet'!B42,'Calc Sheet'!C48-'Calc Sheet'!B48))),2)</f>
        <v>0</v>
      </c>
      <c r="E40" s="66">
        <f>ROUND(IF(E$8="-",0,IF(E$8="Tech Fee",0,IF(E$8="Design",'Calc Sheet'!D42-'Calc Sheet'!C42,'Calc Sheet'!D48-'Calc Sheet'!C48))),2)</f>
        <v>0</v>
      </c>
      <c r="F40" s="66">
        <f>ROUND(IF(F$8="-",0,IF(F$8="Tech Fee",0,IF(F$8="Design",'Calc Sheet'!E42-'Calc Sheet'!D42,'Calc Sheet'!E48-'Calc Sheet'!D48))),2)</f>
        <v>0</v>
      </c>
      <c r="G40" s="66">
        <f>ROUND(IF(G$8="-",0,IF(G$8="Tech Fee", 0,IF(G$8="Design",'Calc Sheet'!F42-'Calc Sheet'!E42,'Calc Sheet'!F48-'Calc Sheet'!E48))),2)</f>
        <v>0</v>
      </c>
      <c r="H40" s="35"/>
      <c r="I40" s="66">
        <f t="shared" ref="I40" si="10">SUM(C40:G40)</f>
        <v>0</v>
      </c>
      <c r="J40" s="19" t="s">
        <v>69</v>
      </c>
      <c r="L40" s="7"/>
    </row>
    <row r="41" spans="1:16" ht="15.75" thickBot="1" x14ac:dyDescent="0.25">
      <c r="A41" s="36"/>
      <c r="B41" s="33" t="str">
        <f>IF(C8="tech fee", "PD&amp;C Project Management Fees for Construction Phase ^ - Not used","PD&amp;C Project Management Fees for Construction Phase ^")</f>
        <v>PD&amp;C Project Management Fees for Construction Phase ^</v>
      </c>
      <c r="C41" s="89">
        <f>ROUND(IF(C$8="-",0,IF(C$8="Tech Fee",0,IF(C$8="Design",'Calc Sheet'!B43,'Calc Sheet'!B49))),2)</f>
        <v>0</v>
      </c>
      <c r="D41" s="89">
        <f>ROUND(IF(D$8="-",0,IF(D$8="Tech Fee",0,IF(D$8="Design",'Calc Sheet'!C43-'Calc Sheet'!B43,'Calc Sheet'!C49-'Calc Sheet'!B49))),2)</f>
        <v>0</v>
      </c>
      <c r="E41" s="89">
        <f>ROUND(IF(E$8="-",0,IF(E$8="Tech Fee",0,IF(E$8="Design",'Calc Sheet'!D43-'Calc Sheet'!C43,'Calc Sheet'!D49-'Calc Sheet'!C49))),2)</f>
        <v>0</v>
      </c>
      <c r="F41" s="89">
        <f>ROUND(IF(F$8="-",0,IF(F$8="Tech Fee",0,IF(F$8="Design",'Calc Sheet'!E43-'Calc Sheet'!D43,'Calc Sheet'!E49-'Calc Sheet'!D49))),2)</f>
        <v>0</v>
      </c>
      <c r="G41" s="89">
        <f>ROUND(IF(G$8="-",0,IF(G$8="Tech Fee",0,IF(G$8="Design",'Calc Sheet'!F43-'Calc Sheet'!E43,'Calc Sheet'!F49-'Calc Sheet'!E49))),2)</f>
        <v>0</v>
      </c>
      <c r="H41" s="87"/>
      <c r="I41" s="88">
        <f t="shared" ref="I41" si="11">SUM(C41:G41)-SUMIFS(C41:G41,C$8:G$8,"Design")</f>
        <v>0</v>
      </c>
      <c r="J41" s="19" t="s">
        <v>69</v>
      </c>
      <c r="L41" s="6"/>
    </row>
    <row r="42" spans="1:16" ht="16.5" thickTop="1" thickBot="1" x14ac:dyDescent="0.25">
      <c r="A42" s="36"/>
      <c r="B42" s="33" t="str">
        <f>IF(C8="tech fee", "PD&amp;C Project Management Fees for Tech Fee","PD&amp;C Project Management Fees for Tech Fee - Not used")</f>
        <v>PD&amp;C Project Management Fees for Tech Fee - Not used</v>
      </c>
      <c r="C42" s="89">
        <f>ROUND(IF(C$8="-",0,IF(C$8="Tech Fee",'Calc Sheet'!B53,0)),2)</f>
        <v>0</v>
      </c>
      <c r="D42" s="89">
        <f>ROUND(IF(D$8="-",0,IF(D$8="Tech Fee",'Calc Sheet'!C53-'Calc Sheet'!B53,0)),2)</f>
        <v>0</v>
      </c>
      <c r="E42" s="89">
        <f>ROUND(IF(E$8="-",0,IF(E$8="Tech Fee",'Calc Sheet'!D53-'Calc Sheet'!C53,0)),2)</f>
        <v>0</v>
      </c>
      <c r="F42" s="89">
        <f>ROUND(IF(F$8="-",0,IF(F$8="Tech Fee",'Calc Sheet'!E53-'Calc Sheet'!D53,0)),2)</f>
        <v>0</v>
      </c>
      <c r="G42" s="89">
        <f>ROUND(IF(G$8="-",0,IF(G$8="Tech Fee",'Calc Sheet'!F53-'Calc Sheet'!E53,0)),2)</f>
        <v>0</v>
      </c>
      <c r="H42" s="87"/>
      <c r="I42" s="88">
        <f t="shared" ref="I42" si="12">SUM(C42:G42)-SUMIFS(C42:G42,C$8:G$8,"Design")</f>
        <v>0</v>
      </c>
      <c r="J42" s="19" t="s">
        <v>69</v>
      </c>
      <c r="L42" s="6"/>
    </row>
    <row r="43" spans="1:16" ht="16.5" thickTop="1" thickBot="1" x14ac:dyDescent="0.25">
      <c r="A43" s="37"/>
      <c r="B43" s="38" t="s">
        <v>22</v>
      </c>
      <c r="C43" s="43">
        <f>SUM(C40:C42)</f>
        <v>0</v>
      </c>
      <c r="D43" s="43">
        <f t="shared" ref="D43:G43" si="13">SUM(D40:D42)</f>
        <v>0</v>
      </c>
      <c r="E43" s="43">
        <f t="shared" si="13"/>
        <v>0</v>
      </c>
      <c r="F43" s="43">
        <f t="shared" si="13"/>
        <v>0</v>
      </c>
      <c r="G43" s="43">
        <f t="shared" si="13"/>
        <v>0</v>
      </c>
      <c r="H43" s="43"/>
      <c r="I43" s="68">
        <f>SUM(I40:I42)</f>
        <v>0</v>
      </c>
      <c r="L43" s="8"/>
    </row>
    <row r="44" spans="1:16" ht="16.5" thickTop="1" thickBot="1" x14ac:dyDescent="0.25">
      <c r="A44" s="36"/>
      <c r="B44" s="52"/>
      <c r="C44" s="53"/>
      <c r="D44" s="53"/>
      <c r="E44" s="53"/>
      <c r="F44" s="53"/>
      <c r="G44" s="53"/>
      <c r="H44" s="53"/>
      <c r="I44" s="72"/>
      <c r="L44" s="8"/>
    </row>
    <row r="45" spans="1:16" ht="15.75" thickTop="1" x14ac:dyDescent="0.2">
      <c r="A45" s="34"/>
      <c r="B45" s="31" t="str">
        <f>IF(C8="tech fee", "Design Contingency * - Not used","Design Contingency *")</f>
        <v>Design Contingency *</v>
      </c>
      <c r="C45" s="66">
        <f>ROUND(IF(C$8="Tech Fee",0,C14*0.1),2)</f>
        <v>0</v>
      </c>
      <c r="D45" s="66">
        <f t="shared" ref="D45:G45" si="14">ROUND(IF(D$8="Tech Fee",0,D14*0.1),2)</f>
        <v>0</v>
      </c>
      <c r="E45" s="66">
        <f t="shared" si="14"/>
        <v>0</v>
      </c>
      <c r="F45" s="66">
        <f t="shared" si="14"/>
        <v>0</v>
      </c>
      <c r="G45" s="66">
        <f t="shared" si="14"/>
        <v>0</v>
      </c>
      <c r="H45" s="35"/>
      <c r="I45" s="66">
        <f>SUM(C45:G45)</f>
        <v>0</v>
      </c>
      <c r="J45" s="19" t="s">
        <v>69</v>
      </c>
      <c r="L45" s="7"/>
    </row>
    <row r="46" spans="1:16" ht="15.75" thickBot="1" x14ac:dyDescent="0.25">
      <c r="A46" s="40"/>
      <c r="B46" s="33" t="str">
        <f>IF(C8="tech fee", "Project Contingency * ^ - Not used","Project Contingency * ^")</f>
        <v>Project Contingency * ^</v>
      </c>
      <c r="C46" s="89">
        <f>ROUND(IF(C$8="Tech Fee",0,C21*0.1),2)</f>
        <v>0</v>
      </c>
      <c r="D46" s="89">
        <f t="shared" ref="D46:G46" si="15">ROUND(IF(D$8="Tech Fee",0,D21*0.1),2)</f>
        <v>0</v>
      </c>
      <c r="E46" s="89">
        <f t="shared" si="15"/>
        <v>0</v>
      </c>
      <c r="F46" s="89">
        <f t="shared" si="15"/>
        <v>0</v>
      </c>
      <c r="G46" s="89">
        <f t="shared" si="15"/>
        <v>0</v>
      </c>
      <c r="H46" s="87"/>
      <c r="I46" s="88">
        <f t="shared" ref="I46" si="16">SUM(C46:G46)-SUMIFS(C46:G46,C$8:G$8,"Design")</f>
        <v>0</v>
      </c>
      <c r="J46" s="19" t="s">
        <v>69</v>
      </c>
      <c r="L46" s="6"/>
    </row>
    <row r="47" spans="1:16" ht="16.5" thickTop="1" thickBot="1" x14ac:dyDescent="0.25">
      <c r="A47" s="44"/>
      <c r="B47" s="49" t="s">
        <v>23</v>
      </c>
      <c r="C47" s="43">
        <f t="shared" ref="C47:I47" si="17">SUM(C45:C46)</f>
        <v>0</v>
      </c>
      <c r="D47" s="43">
        <f t="shared" si="17"/>
        <v>0</v>
      </c>
      <c r="E47" s="43">
        <f t="shared" si="17"/>
        <v>0</v>
      </c>
      <c r="F47" s="43">
        <f t="shared" si="17"/>
        <v>0</v>
      </c>
      <c r="G47" s="43">
        <f t="shared" si="17"/>
        <v>0</v>
      </c>
      <c r="H47" s="43"/>
      <c r="I47" s="68">
        <f t="shared" si="17"/>
        <v>0</v>
      </c>
      <c r="L47" s="8"/>
    </row>
    <row r="48" spans="1:16" ht="15.75" thickTop="1" x14ac:dyDescent="0.2">
      <c r="A48" s="104"/>
      <c r="B48" s="105"/>
      <c r="C48" s="106"/>
      <c r="D48" s="106"/>
      <c r="E48" s="106"/>
      <c r="F48" s="106"/>
      <c r="G48" s="106"/>
      <c r="H48" s="106"/>
      <c r="I48" s="107"/>
      <c r="L48" s="8"/>
      <c r="N48" s="2"/>
      <c r="O48" s="2"/>
      <c r="P48" s="3"/>
    </row>
    <row r="49" spans="1:16" x14ac:dyDescent="0.2">
      <c r="A49" s="12"/>
      <c r="B49" s="61"/>
      <c r="C49" s="13"/>
      <c r="D49" s="13"/>
      <c r="E49" s="13"/>
      <c r="F49" s="13"/>
      <c r="G49" s="13"/>
      <c r="H49" s="13"/>
      <c r="I49" s="13"/>
      <c r="N49" s="2"/>
      <c r="O49" s="2"/>
      <c r="P49" s="3"/>
    </row>
    <row r="50" spans="1:16" ht="13.5" thickBot="1" x14ac:dyDescent="0.25">
      <c r="A50" s="12"/>
      <c r="B50" s="94" t="s">
        <v>63</v>
      </c>
      <c r="C50" s="14"/>
      <c r="D50" s="14"/>
      <c r="E50" s="14"/>
      <c r="F50" s="14"/>
      <c r="G50" s="14"/>
      <c r="H50" s="14"/>
      <c r="I50" s="14">
        <f t="shared" ref="I50" si="18">SUM(C50:G50)</f>
        <v>0</v>
      </c>
      <c r="N50" s="2"/>
      <c r="O50" s="2"/>
      <c r="P50" s="3"/>
    </row>
    <row r="51" spans="1:16" ht="14.25" customHeight="1" thickBot="1" x14ac:dyDescent="0.25">
      <c r="A51" s="10"/>
      <c r="B51" s="15" t="s">
        <v>88</v>
      </c>
      <c r="C51" s="16">
        <f>IF(C8="Design",C14+C40+C45-C50,C14+C21+C28+C33+C38+C43+C47-C50)</f>
        <v>0</v>
      </c>
      <c r="D51" s="16">
        <f>IF(D8="Design",D14+D40+D45-D50,D14+D21+D28+D33+D38+D43+D47-D50)</f>
        <v>0</v>
      </c>
      <c r="E51" s="16">
        <f>IF(E8="Design",E14+E40+E45-E50,E14+E21+E28+E33+E38+E43+E47-E50)</f>
        <v>0</v>
      </c>
      <c r="F51" s="16">
        <f>IF(F8="Design",F14+F40+F45-F50,F14+F21+F28+F33+F38+F43+F47-F50)</f>
        <v>0</v>
      </c>
      <c r="G51" s="16">
        <f>IF(G8="Design",G14+G40+G45-G50,G14+G21+G28+G33+G38+G43+G47-G50)</f>
        <v>0</v>
      </c>
      <c r="H51" s="16"/>
      <c r="I51" s="117">
        <f>SUM(C51:G51)</f>
        <v>0</v>
      </c>
    </row>
    <row r="52" spans="1:16" ht="13.5" thickBot="1" x14ac:dyDescent="0.25">
      <c r="A52" s="10"/>
      <c r="B52" s="15" t="s">
        <v>87</v>
      </c>
      <c r="C52" s="16">
        <f>C14+C21+C28+C33+C38+C43+C47</f>
        <v>0</v>
      </c>
      <c r="D52" s="16">
        <f t="shared" ref="D52:G52" si="19">D14+D21+D28+D33+D38+D43+D47</f>
        <v>0</v>
      </c>
      <c r="E52" s="16">
        <f t="shared" si="19"/>
        <v>0</v>
      </c>
      <c r="F52" s="16">
        <f t="shared" si="19"/>
        <v>0</v>
      </c>
      <c r="G52" s="16">
        <f t="shared" si="19"/>
        <v>0</v>
      </c>
      <c r="H52" s="110"/>
      <c r="I52" s="109"/>
    </row>
    <row r="53" spans="1:16" x14ac:dyDescent="0.2">
      <c r="A53" s="9"/>
      <c r="B53" s="9"/>
      <c r="C53" s="9"/>
      <c r="D53" s="11"/>
      <c r="E53" s="9"/>
      <c r="F53" s="9"/>
      <c r="G53" s="9"/>
      <c r="H53" s="108"/>
      <c r="I53" s="108"/>
    </row>
    <row r="54" spans="1:16" ht="50.1" customHeight="1" x14ac:dyDescent="0.2">
      <c r="A54" s="17" t="s">
        <v>12</v>
      </c>
      <c r="B54" s="131" t="s">
        <v>68</v>
      </c>
      <c r="C54" s="132"/>
      <c r="D54" s="132"/>
      <c r="E54" s="132"/>
      <c r="F54" s="132"/>
      <c r="G54" s="132"/>
      <c r="H54" s="132"/>
      <c r="I54" s="132"/>
    </row>
    <row r="55" spans="1:16" ht="50.1" customHeight="1" x14ac:dyDescent="0.2">
      <c r="A55" s="17" t="s">
        <v>13</v>
      </c>
      <c r="B55" s="131" t="s">
        <v>78</v>
      </c>
      <c r="C55" s="132"/>
      <c r="D55" s="132"/>
      <c r="E55" s="132"/>
      <c r="F55" s="132"/>
      <c r="G55" s="132"/>
      <c r="H55" s="132"/>
      <c r="I55" s="132"/>
    </row>
    <row r="56" spans="1:16" ht="50.1" customHeight="1" x14ac:dyDescent="0.2">
      <c r="A56" s="17" t="s">
        <v>14</v>
      </c>
      <c r="B56" s="131" t="s">
        <v>71</v>
      </c>
      <c r="C56" s="132"/>
      <c r="D56" s="132"/>
      <c r="E56" s="132"/>
      <c r="F56" s="132"/>
      <c r="G56" s="132"/>
      <c r="H56" s="132"/>
      <c r="I56" s="132"/>
    </row>
    <row r="57" spans="1:16" ht="50.1" customHeight="1" x14ac:dyDescent="0.2">
      <c r="A57" s="17" t="s">
        <v>62</v>
      </c>
      <c r="B57" s="131" t="s">
        <v>70</v>
      </c>
      <c r="C57" s="132"/>
      <c r="D57" s="132"/>
      <c r="E57" s="132"/>
      <c r="F57" s="132"/>
      <c r="G57" s="132"/>
      <c r="H57" s="132"/>
      <c r="I57" s="132"/>
    </row>
    <row r="58" spans="1:16" ht="50.1" customHeight="1" x14ac:dyDescent="0.2">
      <c r="A58" s="17" t="s">
        <v>80</v>
      </c>
      <c r="B58" s="131" t="s">
        <v>79</v>
      </c>
      <c r="C58" s="132"/>
      <c r="D58" s="132"/>
      <c r="E58" s="132"/>
      <c r="F58" s="132"/>
      <c r="G58" s="132"/>
      <c r="H58" s="132"/>
      <c r="I58" s="132"/>
    </row>
  </sheetData>
  <dataConsolidate/>
  <mergeCells count="7">
    <mergeCell ref="A4:I4"/>
    <mergeCell ref="A5:I5"/>
    <mergeCell ref="B54:I54"/>
    <mergeCell ref="B55:I55"/>
    <mergeCell ref="B58:I58"/>
    <mergeCell ref="B56:I56"/>
    <mergeCell ref="B57:I57"/>
  </mergeCells>
  <conditionalFormatting sqref="C16:G20">
    <cfRule type="expression" dxfId="4" priority="14">
      <formula>C$8="Design"</formula>
    </cfRule>
  </conditionalFormatting>
  <conditionalFormatting sqref="C23:G27">
    <cfRule type="expression" dxfId="3" priority="7">
      <formula>C$8="Design"</formula>
    </cfRule>
  </conditionalFormatting>
  <conditionalFormatting sqref="C30:G32 C35:G37">
    <cfRule type="expression" dxfId="2" priority="62">
      <formula>C$8="Design"</formula>
    </cfRule>
  </conditionalFormatting>
  <conditionalFormatting sqref="C41:G42">
    <cfRule type="expression" dxfId="1" priority="1">
      <formula>C$8="Design"</formula>
    </cfRule>
  </conditionalFormatting>
  <conditionalFormatting sqref="C46:G46">
    <cfRule type="expression" dxfId="0" priority="2">
      <formula>C$8="Design"</formula>
    </cfRule>
  </conditionalFormatting>
  <printOptions horizontalCentered="1"/>
  <pageMargins left="0.25" right="0.25" top="0.75" bottom="0.75" header="0.3" footer="0.3"/>
  <pageSetup scale="63" orientation="portrait" r:id="rId1"/>
  <headerFooter>
    <oddHeader xml:space="preserve">&amp;C </oddHeader>
    <oddFooter>&amp;R&amp;"Arial,Italic"&amp;8 5/24/18</oddFooter>
  </headerFooter>
  <ignoredErrors>
    <ignoredError sqref="C14:D14 E14:G14"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5AB5B9D-D3CE-4382-B304-ECC5D7192063}">
          <x14:formula1>
            <xm:f>'Calc Sheet'!$A$80:$A$83</xm:f>
          </x14:formula1>
          <xm:sqref>C8:G8</xm:sqref>
        </x14:dataValidation>
        <x14:dataValidation type="list" allowBlank="1" showInputMessage="1" showErrorMessage="1" xr:uid="{4E470362-26FD-4D70-AB69-1CD36236372B}">
          <x14:formula1>
            <xm:f>'Calc Sheet'!$A$85:$A$86</xm:f>
          </x14:formula1>
          <xm:sqref>C6:G7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3:N86"/>
  <sheetViews>
    <sheetView topLeftCell="A30" zoomScaleNormal="100" workbookViewId="0">
      <selection activeCell="D61" sqref="D61"/>
    </sheetView>
  </sheetViews>
  <sheetFormatPr defaultColWidth="9.140625" defaultRowHeight="11.25" outlineLevelRow="1" x14ac:dyDescent="0.2"/>
  <cols>
    <col min="1" max="1" width="29.140625" style="9" bestFit="1" customWidth="1"/>
    <col min="2" max="6" width="17.5703125" style="9" customWidth="1"/>
    <col min="7" max="7" width="13.5703125" style="9" customWidth="1"/>
    <col min="8" max="8" width="14.5703125" style="9" customWidth="1"/>
    <col min="9" max="9" width="11.140625" style="9" customWidth="1"/>
    <col min="10" max="10" width="11.42578125" style="9" customWidth="1"/>
    <col min="11" max="11" width="11.28515625" style="9" customWidth="1"/>
    <col min="12" max="12" width="11.85546875" style="9" customWidth="1"/>
    <col min="13" max="13" width="10.7109375" style="9" customWidth="1"/>
    <col min="14" max="14" width="12.5703125" style="9" customWidth="1"/>
    <col min="15" max="16384" width="9.140625" style="9"/>
  </cols>
  <sheetData>
    <row r="3" spans="1:14" x14ac:dyDescent="0.2">
      <c r="A3" s="78" t="s">
        <v>36</v>
      </c>
    </row>
    <row r="4" spans="1:14" x14ac:dyDescent="0.2">
      <c r="A4" s="76" t="s">
        <v>2</v>
      </c>
      <c r="B4" s="63" t="s">
        <v>28</v>
      </c>
      <c r="C4" s="63" t="s">
        <v>33</v>
      </c>
      <c r="D4" s="63" t="s">
        <v>30</v>
      </c>
      <c r="E4" s="63" t="s">
        <v>32</v>
      </c>
      <c r="F4" s="63" t="s">
        <v>31</v>
      </c>
    </row>
    <row r="5" spans="1:14" x14ac:dyDescent="0.2">
      <c r="A5" s="9" t="s">
        <v>39</v>
      </c>
      <c r="B5" s="11">
        <f>IF(Cost!C8="Design",Cost!C11+Cost!C16+Cost!C17,0)</f>
        <v>0</v>
      </c>
      <c r="C5" s="11">
        <f>IF(Cost!D8="Design",Cost!D11+Cost!D16+Cost!D17,0)+B5</f>
        <v>0</v>
      </c>
      <c r="D5" s="11">
        <f>IF(Cost!E8="Design",Cost!E11+Cost!E16+Cost!E17,0)+C5</f>
        <v>0</v>
      </c>
      <c r="E5" s="11">
        <f>IF(Cost!F8="Design",Cost!F11+Cost!F16+Cost!F17,0)+D5</f>
        <v>0</v>
      </c>
      <c r="F5" s="11">
        <f>IF(Cost!G8="Design",Cost!G11+Cost!G16+Cost!G17,0)+E5</f>
        <v>0</v>
      </c>
      <c r="G5" s="103" t="s">
        <v>65</v>
      </c>
      <c r="H5" s="112"/>
      <c r="I5" s="113"/>
    </row>
    <row r="6" spans="1:14" x14ac:dyDescent="0.2">
      <c r="A6" s="75" t="s">
        <v>16</v>
      </c>
      <c r="B6" s="22">
        <f>IF(Cost!C6="Yes",IF(B5=0,0,IF(C24&gt;100,C24,100)),0)</f>
        <v>0</v>
      </c>
      <c r="C6" s="22">
        <f>IF(Cost!D6="Yes",IF(C5=0,0,IF(D24&gt;100,D24,100)),0)</f>
        <v>0</v>
      </c>
      <c r="D6" s="22">
        <f>IF(Cost!E6="Yes",IF(D5=0,0,IF(E24&gt;100,E24,100)),0)</f>
        <v>0</v>
      </c>
      <c r="E6" s="22">
        <f>IF(Cost!F6="Yes",IF(E5=0,0,IF(F24&gt;100,F24,100)),0)</f>
        <v>0</v>
      </c>
      <c r="F6" s="22">
        <f>IF(Cost!G6="Yes",IF(F5=0,0,IF(G24&gt;100,G24,100)),0)</f>
        <v>0</v>
      </c>
      <c r="G6" s="29"/>
      <c r="H6" s="112"/>
      <c r="I6" s="113"/>
      <c r="J6" s="65"/>
    </row>
    <row r="7" spans="1:14" x14ac:dyDescent="0.2">
      <c r="A7" s="75" t="s">
        <v>17</v>
      </c>
      <c r="B7" s="22">
        <f>IF(Cost!C7="yes",IF(B5=0,0,IF(B5*0.0025&gt;100,(B5*0.0025),100)),0)</f>
        <v>0</v>
      </c>
      <c r="C7" s="22">
        <f>IF(Cost!D7="yes",IF(C5=0,0,IF(C5*0.0025&gt;100,(C5*0.0025),100)),0)</f>
        <v>0</v>
      </c>
      <c r="D7" s="22">
        <f>IF(Cost!E7="yes",IF(D5=0,0,IF(D5*0.0025&gt;100,(D5*0.0025),100)),0)</f>
        <v>0</v>
      </c>
      <c r="E7" s="22">
        <f>IF(Cost!F7="yes",IF(E5=0,0,IF(E5*0.0025&gt;100,(E5*0.0025),100)),0)</f>
        <v>0</v>
      </c>
      <c r="F7" s="22">
        <f>IF(Cost!G7="yes",IF(F5=0,0,IF(F5*0.0025&gt;100,(F5*0.0025),100)),0)</f>
        <v>0</v>
      </c>
      <c r="G7" s="29"/>
      <c r="H7" s="112"/>
      <c r="I7" s="113"/>
      <c r="J7" s="65"/>
    </row>
    <row r="8" spans="1:14" x14ac:dyDescent="0.2">
      <c r="A8" s="75"/>
      <c r="B8" s="22"/>
      <c r="C8" s="22"/>
      <c r="D8" s="22"/>
      <c r="E8" s="22"/>
      <c r="F8" s="22"/>
      <c r="G8" s="29"/>
      <c r="H8" s="112"/>
      <c r="I8" s="113"/>
      <c r="J8" s="65"/>
    </row>
    <row r="9" spans="1:14" x14ac:dyDescent="0.2">
      <c r="A9" s="77" t="s">
        <v>45</v>
      </c>
      <c r="B9" s="63" t="s">
        <v>28</v>
      </c>
      <c r="C9" s="63" t="s">
        <v>33</v>
      </c>
      <c r="D9" s="63" t="s">
        <v>30</v>
      </c>
      <c r="E9" s="63" t="s">
        <v>32</v>
      </c>
      <c r="F9" s="63" t="s">
        <v>31</v>
      </c>
      <c r="G9" s="29"/>
      <c r="H9" s="112"/>
      <c r="I9" s="113"/>
      <c r="J9" s="65"/>
    </row>
    <row r="10" spans="1:14" x14ac:dyDescent="0.2">
      <c r="A10" s="9" t="s">
        <v>39</v>
      </c>
      <c r="B10" s="11">
        <f>IF(OR(Cost!C8="Construction",Cost!C8="Tech Fee"),Cost!C11+Cost!C16+Cost!C17,IF(Cost!C8="Design",Cost!C11,0))</f>
        <v>0</v>
      </c>
      <c r="C10" s="11">
        <f>IF(OR(Cost!D8="Construction",Cost!D8="Tech Fee"),Cost!D11+Cost!D16+Cost!D17,IF(Cost!D8="Design",Cost!D11,0))+B10</f>
        <v>0</v>
      </c>
      <c r="D10" s="11">
        <f>IF(OR(Cost!E8="Construction",Cost!E8="Tech Fee"),Cost!E11+Cost!E16+Cost!E17,IF(Cost!E8="Design",Cost!E11,0))+C10</f>
        <v>0</v>
      </c>
      <c r="E10" s="11">
        <f>IF(OR(Cost!F8="Construction",Cost!F8="Tech Fee"),Cost!F11+Cost!F16+Cost!F17,IF(Cost!F8="Design",Cost!F11,0))+D10</f>
        <v>0</v>
      </c>
      <c r="F10" s="11">
        <f>IF(OR(Cost!G8="Construction",Cost!G8="Tech Fee"),Cost!G11+Cost!G16+Cost!G17,IF(Cost!G8="Design",Cost!G11,0))+E10</f>
        <v>0</v>
      </c>
      <c r="G10" s="97" t="s">
        <v>91</v>
      </c>
      <c r="H10" s="112"/>
      <c r="I10" s="113"/>
      <c r="J10" s="65"/>
    </row>
    <row r="11" spans="1:14" x14ac:dyDescent="0.2">
      <c r="A11" s="75" t="s">
        <v>16</v>
      </c>
      <c r="B11" s="22">
        <f>IF(Cost!C6="yes",IF(B10=0,0,IF(Cost!C8="Design",0,IF(C36&gt;100,C36,100))),0)</f>
        <v>0</v>
      </c>
      <c r="C11" s="22">
        <f>IF(Cost!D6="yes",IF(C10=0,0,IF(Cost!D8="Design",0,IF(D36&gt;100,D36,100))),0)</f>
        <v>0</v>
      </c>
      <c r="D11" s="22">
        <f>IF(Cost!E6="yes",IF(D10=0,0,IF(Cost!E8="Design",0,IF(E36&gt;100,E36,100))),0)</f>
        <v>0</v>
      </c>
      <c r="E11" s="22">
        <f>IF(Cost!F6="yes",IF(E10=0,0,IF(Cost!F8="Design",0,IF(F36&gt;100,F36,100))),0)</f>
        <v>0</v>
      </c>
      <c r="F11" s="22">
        <f>IF(Cost!G6="yes",IF(F10=0,0,IF(Cost!G8="Design",0,IF(G36&gt;100,G36,100))),0)</f>
        <v>0</v>
      </c>
      <c r="G11" s="74"/>
      <c r="H11" s="112"/>
    </row>
    <row r="12" spans="1:14" x14ac:dyDescent="0.2">
      <c r="A12" s="75" t="s">
        <v>17</v>
      </c>
      <c r="B12" s="22">
        <f>IF(Cost!C7="yes",IF(B10=0,0,IF(Cost!C8="Design",0,IF(B10*0.0025&gt;100,(B10*0.0025),100))),0)</f>
        <v>0</v>
      </c>
      <c r="C12" s="22">
        <f>IF(Cost!D7="yes",IF(C10=0,0,IF(Cost!D8="Design",0,IF(C10*0.0025&gt;100,(C10*0.0025),100))),0)</f>
        <v>0</v>
      </c>
      <c r="D12" s="22">
        <f>IF(Cost!E7="yes",IF(D10=0,0,IF(Cost!E8="Design",0,IF(D10*0.0025&gt;100,(D10*0.0025),100))),0)</f>
        <v>0</v>
      </c>
      <c r="E12" s="22">
        <f>IF(Cost!F7="yes",IF(E10=0,0,IF(Cost!F8="Design",0,IF(E10*0.0025&gt;100,(E10*0.0025),100))),0)</f>
        <v>0</v>
      </c>
      <c r="F12" s="22">
        <f>IF(Cost!G7="yes",IF(F10=0,0,IF(Cost!G8="Design",0,IF(F10*0.0025&gt;100,(F10*0.0025),100))),0)</f>
        <v>0</v>
      </c>
      <c r="G12" s="74"/>
      <c r="H12" s="112"/>
    </row>
    <row r="13" spans="1:14" x14ac:dyDescent="0.2">
      <c r="A13" s="75"/>
      <c r="B13" s="22"/>
      <c r="C13" s="22"/>
      <c r="D13" s="22"/>
      <c r="E13" s="22"/>
      <c r="F13" s="22"/>
      <c r="G13" s="74"/>
      <c r="H13" s="112"/>
      <c r="M13" s="114"/>
    </row>
    <row r="14" spans="1:14" outlineLevel="1" x14ac:dyDescent="0.2">
      <c r="A14" s="25" t="s">
        <v>37</v>
      </c>
      <c r="C14" s="9">
        <v>1</v>
      </c>
      <c r="D14" s="9">
        <v>2</v>
      </c>
      <c r="E14" s="9">
        <v>3</v>
      </c>
      <c r="F14" s="9">
        <v>4</v>
      </c>
      <c r="G14" s="9">
        <v>5</v>
      </c>
      <c r="M14" s="114"/>
    </row>
    <row r="15" spans="1:14" outlineLevel="1" x14ac:dyDescent="0.2">
      <c r="A15" s="64">
        <v>0</v>
      </c>
      <c r="C15" s="101">
        <f>IF(B$5&lt;=$A16,100,0)</f>
        <v>100</v>
      </c>
      <c r="D15" s="101">
        <f t="shared" ref="D15:G15" si="0">IF(C$5&lt;=$A16,100,0)</f>
        <v>100</v>
      </c>
      <c r="E15" s="101">
        <f t="shared" si="0"/>
        <v>100</v>
      </c>
      <c r="F15" s="101">
        <f t="shared" si="0"/>
        <v>100</v>
      </c>
      <c r="G15" s="101">
        <f t="shared" si="0"/>
        <v>100</v>
      </c>
      <c r="L15" s="113"/>
      <c r="M15" s="114"/>
      <c r="N15" s="113"/>
    </row>
    <row r="16" spans="1:14" outlineLevel="1" x14ac:dyDescent="0.2">
      <c r="A16" s="64">
        <v>1000</v>
      </c>
      <c r="C16" s="64">
        <f>IF(AND(B$5&gt;$A16,B$5&lt;=$A17),150,0)</f>
        <v>0</v>
      </c>
      <c r="D16" s="64">
        <f t="shared" ref="D16:G16" si="1">IF(AND(C$5&gt;$A16,C$5&lt;=$A17),150,0)</f>
        <v>0</v>
      </c>
      <c r="E16" s="64">
        <f t="shared" si="1"/>
        <v>0</v>
      </c>
      <c r="F16" s="64">
        <f t="shared" si="1"/>
        <v>0</v>
      </c>
      <c r="G16" s="64">
        <f t="shared" si="1"/>
        <v>0</v>
      </c>
      <c r="L16" s="113"/>
      <c r="M16" s="114"/>
      <c r="N16" s="113"/>
    </row>
    <row r="17" spans="1:14" outlineLevel="1" x14ac:dyDescent="0.2">
      <c r="A17" s="64">
        <v>10000</v>
      </c>
      <c r="B17" s="79"/>
      <c r="C17" s="64">
        <f>IF(AND(B$5&gt;$A17,B$5&lt;=$A18),(ROUNDUP((B$5-$A17)/1000,0)*24)+150,0)</f>
        <v>0</v>
      </c>
      <c r="D17" s="64">
        <f t="shared" ref="D17:G17" si="2">IF(AND(C$5&gt;$A17,C$5&lt;=$A18),(ROUNDUP((C$5-$A17)/1000,0)*24)+150,0)</f>
        <v>0</v>
      </c>
      <c r="E17" s="64">
        <f t="shared" si="2"/>
        <v>0</v>
      </c>
      <c r="F17" s="64">
        <f t="shared" si="2"/>
        <v>0</v>
      </c>
      <c r="G17" s="64">
        <f t="shared" si="2"/>
        <v>0</v>
      </c>
      <c r="H17" s="85"/>
      <c r="I17" s="79"/>
      <c r="J17" s="79"/>
      <c r="K17" s="21"/>
      <c r="L17" s="113"/>
      <c r="M17" s="114"/>
      <c r="N17" s="113"/>
    </row>
    <row r="18" spans="1:14" outlineLevel="1" x14ac:dyDescent="0.2">
      <c r="A18" s="64">
        <v>50000</v>
      </c>
      <c r="B18" s="79"/>
      <c r="C18" s="64">
        <f>IF(AND(B$5&gt;$A18,B$5&lt;=$A19),(ROUNDUP((B$5-$A18)/1000,0)*17)+1110,0)</f>
        <v>0</v>
      </c>
      <c r="D18" s="64">
        <f t="shared" ref="D18:G18" si="3">IF(AND(C$5&gt;$A18,C$5&lt;=$A19),(ROUNDUP((C$5-$A18)/1000,0)*17)+1110,0)</f>
        <v>0</v>
      </c>
      <c r="E18" s="64">
        <f t="shared" si="3"/>
        <v>0</v>
      </c>
      <c r="F18" s="64">
        <f t="shared" si="3"/>
        <v>0</v>
      </c>
      <c r="G18" s="64">
        <f t="shared" si="3"/>
        <v>0</v>
      </c>
      <c r="H18" s="85"/>
      <c r="I18" s="79"/>
      <c r="J18" s="79"/>
      <c r="K18" s="21"/>
      <c r="L18" s="113"/>
      <c r="M18" s="114"/>
      <c r="N18" s="113"/>
    </row>
    <row r="19" spans="1:14" outlineLevel="1" x14ac:dyDescent="0.2">
      <c r="A19" s="64">
        <v>250000</v>
      </c>
      <c r="B19" s="79"/>
      <c r="C19" s="64">
        <f>IF(AND(B$5&gt;$A19,B$5&lt;=$A20),(ROUNDUP((B$5-$A19)/1000,0)*11)+4510,0)</f>
        <v>0</v>
      </c>
      <c r="D19" s="64">
        <f t="shared" ref="D19:G19" si="4">IF(AND(C$5&gt;$A19,C$5&lt;=$A20),(ROUNDUP((C$5-$A19)/1000,0)*11)+4510,0)</f>
        <v>0</v>
      </c>
      <c r="E19" s="64">
        <f t="shared" si="4"/>
        <v>0</v>
      </c>
      <c r="F19" s="64">
        <f t="shared" si="4"/>
        <v>0</v>
      </c>
      <c r="G19" s="64">
        <f t="shared" si="4"/>
        <v>0</v>
      </c>
      <c r="H19" s="85"/>
      <c r="I19" s="79"/>
      <c r="J19" s="79"/>
      <c r="K19" s="21"/>
      <c r="L19" s="113"/>
      <c r="M19" s="114"/>
      <c r="N19" s="113"/>
    </row>
    <row r="20" spans="1:14" outlineLevel="1" x14ac:dyDescent="0.2">
      <c r="A20" s="64">
        <v>1000000</v>
      </c>
      <c r="B20" s="79"/>
      <c r="C20" s="64">
        <f>IF(AND(B$5&gt;$A20,B$5&lt;=$A21),(ROUNDUP((B$5-$A20)/1000,0)*8.5)+12760,0)</f>
        <v>0</v>
      </c>
      <c r="D20" s="64">
        <f t="shared" ref="D20:G20" si="5">IF(AND(C$5&gt;$A20,C$5&lt;=$A21),(ROUNDUP((C$5-$A20)/1000,0)*8.5)+12760,0)</f>
        <v>0</v>
      </c>
      <c r="E20" s="64">
        <f t="shared" si="5"/>
        <v>0</v>
      </c>
      <c r="F20" s="64">
        <f t="shared" si="5"/>
        <v>0</v>
      </c>
      <c r="G20" s="64">
        <f t="shared" si="5"/>
        <v>0</v>
      </c>
      <c r="H20" s="85"/>
      <c r="I20" s="79"/>
      <c r="J20" s="79"/>
      <c r="K20" s="21"/>
      <c r="L20" s="113"/>
      <c r="M20" s="114"/>
      <c r="N20" s="113"/>
    </row>
    <row r="21" spans="1:14" outlineLevel="1" x14ac:dyDescent="0.2">
      <c r="A21" s="64">
        <v>5000000</v>
      </c>
      <c r="B21" s="79"/>
      <c r="C21" s="64">
        <f>IF(AND(B$5&gt;$A21,B$5&lt;=$A22),(ROUNDUP((B$5-$A21)/1000,0)*6)+46760,0)</f>
        <v>0</v>
      </c>
      <c r="D21" s="64">
        <f t="shared" ref="D21:G21" si="6">IF(AND(C$5&gt;$A21,C$5&lt;=$A22),(ROUNDUP((C$5-$A21)/1000,0)*6)+46760,0)</f>
        <v>0</v>
      </c>
      <c r="E21" s="64">
        <f t="shared" si="6"/>
        <v>0</v>
      </c>
      <c r="F21" s="64">
        <f t="shared" si="6"/>
        <v>0</v>
      </c>
      <c r="G21" s="64">
        <f t="shared" si="6"/>
        <v>0</v>
      </c>
      <c r="H21" s="85"/>
      <c r="I21" s="79"/>
      <c r="J21" s="79"/>
      <c r="K21" s="21"/>
      <c r="L21" s="113"/>
      <c r="M21" s="114"/>
      <c r="N21" s="113"/>
    </row>
    <row r="22" spans="1:14" outlineLevel="1" x14ac:dyDescent="0.2">
      <c r="A22" s="64">
        <v>12000000</v>
      </c>
      <c r="B22" s="79"/>
      <c r="C22" s="64">
        <f>IF(B$5&gt;$A22,(ROUNDUP((B$5-$A22)/1000,0)*5)+88760,0)</f>
        <v>0</v>
      </c>
      <c r="D22" s="64">
        <f t="shared" ref="D22:G22" si="7">IF(C$5&gt;$A22,(ROUNDUP((C$5-$A22)/1000,0)*5)+88760,0)</f>
        <v>0</v>
      </c>
      <c r="E22" s="64">
        <f t="shared" si="7"/>
        <v>0</v>
      </c>
      <c r="F22" s="64">
        <f t="shared" si="7"/>
        <v>0</v>
      </c>
      <c r="G22" s="64">
        <f t="shared" si="7"/>
        <v>0</v>
      </c>
      <c r="H22" s="85"/>
      <c r="I22" s="79"/>
      <c r="J22" s="79"/>
      <c r="K22" s="21"/>
      <c r="L22" s="113"/>
      <c r="M22" s="114"/>
      <c r="N22" s="113"/>
    </row>
    <row r="23" spans="1:14" ht="12" outlineLevel="1" thickBot="1" x14ac:dyDescent="0.25">
      <c r="B23" s="79"/>
      <c r="D23" s="79"/>
      <c r="E23" s="21"/>
      <c r="H23" s="79"/>
      <c r="I23" s="79"/>
      <c r="J23" s="79"/>
      <c r="K23" s="79"/>
      <c r="M23" s="114"/>
      <c r="N23" s="113"/>
    </row>
    <row r="24" spans="1:14" ht="12.75" outlineLevel="1" thickTop="1" thickBot="1" x14ac:dyDescent="0.25">
      <c r="B24" s="9" t="s">
        <v>72</v>
      </c>
      <c r="C24" s="20">
        <f>SUM(C15:C22)</f>
        <v>100</v>
      </c>
      <c r="D24" s="20">
        <f t="shared" ref="D24:G24" si="8">SUM(D15:D22)</f>
        <v>100</v>
      </c>
      <c r="E24" s="20">
        <f>SUM(E15:E22)</f>
        <v>100</v>
      </c>
      <c r="F24" s="20">
        <f t="shared" si="8"/>
        <v>100</v>
      </c>
      <c r="G24" s="111">
        <f t="shared" si="8"/>
        <v>100</v>
      </c>
      <c r="M24" s="114"/>
      <c r="N24" s="113"/>
    </row>
    <row r="25" spans="1:14" ht="12" outlineLevel="1" thickTop="1" x14ac:dyDescent="0.2">
      <c r="M25" s="114"/>
      <c r="N25" s="113"/>
    </row>
    <row r="26" spans="1:14" outlineLevel="1" x14ac:dyDescent="0.2">
      <c r="A26" s="25" t="s">
        <v>38</v>
      </c>
      <c r="H26" s="115"/>
      <c r="I26" s="115"/>
      <c r="J26" s="115"/>
      <c r="K26" s="115"/>
      <c r="L26" s="115"/>
      <c r="M26" s="114"/>
      <c r="N26" s="113"/>
    </row>
    <row r="27" spans="1:14" outlineLevel="1" x14ac:dyDescent="0.2">
      <c r="A27" s="64">
        <v>0</v>
      </c>
      <c r="C27" s="80">
        <f>IF(B$10&lt;=$A28,100,0)</f>
        <v>100</v>
      </c>
      <c r="D27" s="80">
        <f t="shared" ref="D27:G27" si="9">IF(C$10&lt;=$A28,100,0)</f>
        <v>100</v>
      </c>
      <c r="E27" s="80">
        <f t="shared" si="9"/>
        <v>100</v>
      </c>
      <c r="F27" s="80">
        <f t="shared" si="9"/>
        <v>100</v>
      </c>
      <c r="G27" s="80">
        <f t="shared" si="9"/>
        <v>100</v>
      </c>
      <c r="H27" s="64"/>
      <c r="I27" s="64"/>
      <c r="J27" s="64"/>
      <c r="K27" s="64"/>
      <c r="L27" s="64"/>
    </row>
    <row r="28" spans="1:14" outlineLevel="1" x14ac:dyDescent="0.2">
      <c r="A28" s="64">
        <v>1000</v>
      </c>
      <c r="C28" s="64">
        <f>IF(AND(B$10&gt;$A28,B$10&lt;=$A29),150,0)</f>
        <v>0</v>
      </c>
      <c r="D28" s="64">
        <f>IF(AND(C$10&gt;$A28,C$10&lt;=$A29),150,0)</f>
        <v>0</v>
      </c>
      <c r="E28" s="64">
        <f t="shared" ref="E28:G28" si="10">IF(AND(D$10&gt;$A28,D$10&lt;=$A29),150,0)</f>
        <v>0</v>
      </c>
      <c r="F28" s="64">
        <f t="shared" si="10"/>
        <v>0</v>
      </c>
      <c r="G28" s="64">
        <f t="shared" si="10"/>
        <v>0</v>
      </c>
      <c r="H28" s="64"/>
      <c r="I28" s="64"/>
      <c r="J28" s="64"/>
      <c r="K28" s="64"/>
      <c r="L28" s="64"/>
    </row>
    <row r="29" spans="1:14" outlineLevel="1" x14ac:dyDescent="0.2">
      <c r="A29" s="64">
        <v>10000</v>
      </c>
      <c r="B29" s="79"/>
      <c r="C29" s="64">
        <f>IF(AND(B$10&gt;$A29,B$10&lt;=$A30),(ROUNDUP((B$10-$A29)/1000,0)*24)+150,0)</f>
        <v>0</v>
      </c>
      <c r="D29" s="64">
        <f t="shared" ref="D29:G29" si="11">IF(AND(C$10&gt;$A29,C$10&lt;=$A30),(ROUNDUP((C$10-$A29)/1000,0)*24)+150,0)</f>
        <v>0</v>
      </c>
      <c r="E29" s="64">
        <f t="shared" si="11"/>
        <v>0</v>
      </c>
      <c r="F29" s="64">
        <f t="shared" si="11"/>
        <v>0</v>
      </c>
      <c r="G29" s="64">
        <f t="shared" si="11"/>
        <v>0</v>
      </c>
      <c r="H29" s="64"/>
      <c r="I29" s="64"/>
      <c r="J29" s="64"/>
      <c r="K29" s="64"/>
      <c r="L29" s="64"/>
    </row>
    <row r="30" spans="1:14" outlineLevel="1" x14ac:dyDescent="0.2">
      <c r="A30" s="64">
        <v>50000</v>
      </c>
      <c r="B30" s="79"/>
      <c r="C30" s="64">
        <f>IF(AND(B$10&gt;$A30,B$10&lt;=$A31),(ROUNDUP((B$10-$A30)/1000,0)*17)+1110,0)</f>
        <v>0</v>
      </c>
      <c r="D30" s="64">
        <f t="shared" ref="D30:G30" si="12">IF(AND(C$10&gt;$A30,C$10&lt;=$A31),(ROUNDUP((C$10-$A30)/1000,0)*17)+1110,0)</f>
        <v>0</v>
      </c>
      <c r="E30" s="64">
        <f t="shared" si="12"/>
        <v>0</v>
      </c>
      <c r="F30" s="64">
        <f t="shared" si="12"/>
        <v>0</v>
      </c>
      <c r="G30" s="64">
        <f t="shared" si="12"/>
        <v>0</v>
      </c>
      <c r="H30" s="64"/>
      <c r="I30" s="64"/>
      <c r="J30" s="64"/>
      <c r="K30" s="64"/>
      <c r="L30" s="64"/>
    </row>
    <row r="31" spans="1:14" outlineLevel="1" x14ac:dyDescent="0.2">
      <c r="A31" s="64">
        <v>250000</v>
      </c>
      <c r="B31" s="79"/>
      <c r="C31" s="64">
        <f>IF(AND(B$10&gt;$A31,B$10&lt;=$A32),(ROUNDUP((B$10-$A31)/1000,0)*11)+4510,0)</f>
        <v>0</v>
      </c>
      <c r="D31" s="64">
        <f t="shared" ref="D31:G31" si="13">IF(AND(C$10&gt;$A31,C$10&lt;=$A32),(ROUNDUP((C$10-$A31)/1000,0)*11)+4510,0)</f>
        <v>0</v>
      </c>
      <c r="E31" s="64">
        <f t="shared" si="13"/>
        <v>0</v>
      </c>
      <c r="F31" s="64">
        <f t="shared" si="13"/>
        <v>0</v>
      </c>
      <c r="G31" s="64">
        <f t="shared" si="13"/>
        <v>0</v>
      </c>
      <c r="H31" s="64"/>
      <c r="I31" s="64"/>
      <c r="J31" s="64"/>
      <c r="K31" s="64"/>
      <c r="L31" s="64"/>
    </row>
    <row r="32" spans="1:14" outlineLevel="1" x14ac:dyDescent="0.2">
      <c r="A32" s="64">
        <v>1000000</v>
      </c>
      <c r="B32" s="79"/>
      <c r="C32" s="64">
        <f>IF(AND(B$10&gt;$A32,B$10&lt;=$A33),(ROUNDUP((B$10-$A32)/1000,0)*8.5)+12760,0)</f>
        <v>0</v>
      </c>
      <c r="D32" s="64">
        <f t="shared" ref="D32:G32" si="14">IF(AND(C$10&gt;$A32,C$10&lt;=$A33),(ROUNDUP((C$10-$A32)/1000,0)*8.5)+12760,0)</f>
        <v>0</v>
      </c>
      <c r="E32" s="64">
        <f t="shared" si="14"/>
        <v>0</v>
      </c>
      <c r="F32" s="64">
        <f t="shared" si="14"/>
        <v>0</v>
      </c>
      <c r="G32" s="64">
        <f t="shared" si="14"/>
        <v>0</v>
      </c>
      <c r="H32" s="64"/>
      <c r="I32" s="64"/>
      <c r="J32" s="64"/>
      <c r="K32" s="64"/>
      <c r="L32" s="64"/>
    </row>
    <row r="33" spans="1:12" outlineLevel="1" x14ac:dyDescent="0.2">
      <c r="A33" s="64">
        <v>5000000</v>
      </c>
      <c r="B33" s="79"/>
      <c r="C33" s="64">
        <f>IF(AND(B$10&gt;$A33,B$10&lt;=$A34),(ROUNDUP((B$10-$A33)/1000,0)*6)+46760,0)</f>
        <v>0</v>
      </c>
      <c r="D33" s="64">
        <f t="shared" ref="D33:G33" si="15">IF(AND(C$10&gt;$A33,C$10&lt;=$A34),(ROUNDUP((C$10-$A33)/1000,0)*6)+46760,0)</f>
        <v>0</v>
      </c>
      <c r="E33" s="64">
        <f t="shared" si="15"/>
        <v>0</v>
      </c>
      <c r="F33" s="64">
        <f t="shared" si="15"/>
        <v>0</v>
      </c>
      <c r="G33" s="64">
        <f t="shared" si="15"/>
        <v>0</v>
      </c>
      <c r="H33" s="64"/>
      <c r="I33" s="64"/>
      <c r="J33" s="64"/>
      <c r="K33" s="64"/>
      <c r="L33" s="64"/>
    </row>
    <row r="34" spans="1:12" outlineLevel="1" x14ac:dyDescent="0.2">
      <c r="A34" s="64">
        <v>12000000</v>
      </c>
      <c r="B34" s="79"/>
      <c r="C34" s="64">
        <f>IF(B$10&gt;$A34,(ROUNDUP((B$10-$A34)/1000,0)*5)+88760,0)</f>
        <v>0</v>
      </c>
      <c r="D34" s="64">
        <f t="shared" ref="D34:G34" si="16">IF(C$10&gt;$A34,(ROUNDUP((C$10-$A34)/1000,0)*5)+88760,0)</f>
        <v>0</v>
      </c>
      <c r="E34" s="64">
        <f t="shared" si="16"/>
        <v>0</v>
      </c>
      <c r="F34" s="64">
        <f t="shared" si="16"/>
        <v>0</v>
      </c>
      <c r="G34" s="64">
        <f t="shared" si="16"/>
        <v>0</v>
      </c>
      <c r="H34" s="64"/>
      <c r="I34" s="64"/>
      <c r="J34" s="64"/>
      <c r="K34" s="64"/>
      <c r="L34" s="64"/>
    </row>
    <row r="35" spans="1:12" ht="12" outlineLevel="1" thickBot="1" x14ac:dyDescent="0.25">
      <c r="B35" s="79"/>
      <c r="C35" s="85"/>
      <c r="D35" s="79"/>
      <c r="E35" s="79"/>
      <c r="F35" s="21"/>
      <c r="H35" s="64"/>
      <c r="I35" s="80"/>
      <c r="J35" s="64"/>
      <c r="K35" s="64"/>
      <c r="L35" s="64"/>
    </row>
    <row r="36" spans="1:12" ht="12.75" outlineLevel="1" thickTop="1" thickBot="1" x14ac:dyDescent="0.25">
      <c r="B36" s="9" t="s">
        <v>73</v>
      </c>
      <c r="C36" s="20">
        <f>SUM(C27:C34)</f>
        <v>100</v>
      </c>
      <c r="D36" s="20">
        <f t="shared" ref="D36:G36" si="17">SUM(D27:D34)</f>
        <v>100</v>
      </c>
      <c r="E36" s="20">
        <f>SUM(E27:E34)</f>
        <v>100</v>
      </c>
      <c r="F36" s="20">
        <f t="shared" si="17"/>
        <v>100</v>
      </c>
      <c r="G36" s="20">
        <f t="shared" si="17"/>
        <v>100</v>
      </c>
    </row>
    <row r="37" spans="1:12" ht="12" thickTop="1" x14ac:dyDescent="0.2">
      <c r="E37" s="99"/>
      <c r="F37" s="99"/>
      <c r="G37" s="99"/>
    </row>
    <row r="38" spans="1:12" x14ac:dyDescent="0.2">
      <c r="A38" s="78" t="s">
        <v>35</v>
      </c>
      <c r="B38" s="22"/>
      <c r="C38" s="22"/>
      <c r="D38" s="22"/>
      <c r="E38" s="22"/>
      <c r="F38" s="22"/>
      <c r="G38" s="74"/>
      <c r="H38" s="74"/>
    </row>
    <row r="39" spans="1:12" x14ac:dyDescent="0.2">
      <c r="A39" s="83" t="s">
        <v>74</v>
      </c>
      <c r="B39" s="63" t="s">
        <v>28</v>
      </c>
      <c r="C39" s="63" t="s">
        <v>33</v>
      </c>
      <c r="D39" s="63" t="s">
        <v>30</v>
      </c>
      <c r="E39" s="63" t="s">
        <v>32</v>
      </c>
      <c r="F39" s="63" t="s">
        <v>31</v>
      </c>
      <c r="G39" s="74"/>
      <c r="H39" s="74"/>
    </row>
    <row r="40" spans="1:12" ht="22.5" x14ac:dyDescent="0.2">
      <c r="A40" s="81" t="s">
        <v>3</v>
      </c>
      <c r="B40" s="11">
        <f>IF(Cost!C8="Design",Cost!C14+Cost!C21+Cost!C28+Cost!C38+Cost!C47,0)</f>
        <v>0</v>
      </c>
      <c r="C40" s="11">
        <f>IF(Cost!D8="Design",Cost!D14+Cost!D21+Cost!D28+Cost!D38+Cost!D47,0)+B40</f>
        <v>0</v>
      </c>
      <c r="D40" s="11">
        <f>IF(Cost!E8="Design",Cost!E14+Cost!E21+Cost!E28+Cost!E38+Cost!E47,0)+C40</f>
        <v>0</v>
      </c>
      <c r="E40" s="11">
        <f>IF(Cost!F8="Design",Cost!F14+Cost!F21+Cost!F28+Cost!F38+Cost!F47,0)+D40</f>
        <v>0</v>
      </c>
      <c r="F40" s="11">
        <f>IF(Cost!G8="Design",Cost!G14+Cost!G21+Cost!G28+Cost!G38+Cost!G47,0)+E40</f>
        <v>0</v>
      </c>
      <c r="G40" s="97" t="s">
        <v>44</v>
      </c>
      <c r="H40" s="74"/>
    </row>
    <row r="41" spans="1:12" x14ac:dyDescent="0.2">
      <c r="A41" s="121" t="s">
        <v>34</v>
      </c>
      <c r="B41" s="123">
        <f>IF(B40=0,0,D66)</f>
        <v>0</v>
      </c>
      <c r="C41" s="123">
        <f>IF(C40=0,0,E66)</f>
        <v>0</v>
      </c>
      <c r="D41" s="123">
        <f>IF(D40=0,0,F66)</f>
        <v>0</v>
      </c>
      <c r="E41" s="123">
        <f>IF(E40=0,0,G66)</f>
        <v>0</v>
      </c>
      <c r="F41" s="123">
        <f>IF(F40=0,0,H66)</f>
        <v>0</v>
      </c>
      <c r="G41" s="122"/>
      <c r="H41" s="74"/>
    </row>
    <row r="42" spans="1:12" x14ac:dyDescent="0.2">
      <c r="A42" s="82" t="s">
        <v>2</v>
      </c>
      <c r="B42" s="11">
        <f>IF(SUM(Cost!C21,Cost!C28,Cost!C33,Cost!C38)=0,B41,B41*0.5)</f>
        <v>0</v>
      </c>
      <c r="C42" s="11">
        <f>IF(C41-B41=0,B42,IF(SUM(Cost!D21,Cost!D28,Cost!D33,Cost!D38)=0,C41,C41*0.5))</f>
        <v>0</v>
      </c>
      <c r="D42" s="11">
        <f>IF(D41-C41=0,C42,IF(SUM(Cost!E21,Cost!E28,Cost!E33,Cost!E38)=0,D41,D41*0.5))</f>
        <v>0</v>
      </c>
      <c r="E42" s="11">
        <f>IF(E41-D41=0,D42,IF(SUM(Cost!F21,Cost!F28,Cost!F33,Cost!F38)=0,E41,E41*0.5))</f>
        <v>0</v>
      </c>
      <c r="F42" s="11">
        <f>IF(F41-E41=0,E42,IF(SUM(Cost!G21,Cost!G28,Cost!G33,Cost!G38)=0,F41,F41*0.5))</f>
        <v>0</v>
      </c>
      <c r="G42" s="74"/>
      <c r="H42" s="74"/>
    </row>
    <row r="43" spans="1:12" x14ac:dyDescent="0.2">
      <c r="A43" s="82" t="s">
        <v>4</v>
      </c>
      <c r="B43" s="11">
        <f>B41-B42</f>
        <v>0</v>
      </c>
      <c r="C43" s="11">
        <f t="shared" ref="C43:F43" si="18">C41-C42</f>
        <v>0</v>
      </c>
      <c r="D43" s="11">
        <f>D41-D42</f>
        <v>0</v>
      </c>
      <c r="E43" s="11">
        <f t="shared" si="18"/>
        <v>0</v>
      </c>
      <c r="F43" s="11">
        <f t="shared" si="18"/>
        <v>0</v>
      </c>
      <c r="G43" s="74"/>
      <c r="H43" s="74"/>
    </row>
    <row r="44" spans="1:12" x14ac:dyDescent="0.2">
      <c r="A44" s="28"/>
      <c r="B44" s="11"/>
      <c r="C44" s="11"/>
      <c r="D44" s="11"/>
      <c r="E44" s="11"/>
      <c r="F44" s="11"/>
      <c r="G44" s="74"/>
      <c r="H44" s="74"/>
    </row>
    <row r="45" spans="1:12" x14ac:dyDescent="0.2">
      <c r="A45" s="83" t="s">
        <v>84</v>
      </c>
      <c r="B45" s="63" t="s">
        <v>28</v>
      </c>
      <c r="C45" s="63" t="s">
        <v>33</v>
      </c>
      <c r="D45" s="63" t="s">
        <v>30</v>
      </c>
      <c r="E45" s="63" t="s">
        <v>32</v>
      </c>
      <c r="F45" s="63" t="s">
        <v>31</v>
      </c>
    </row>
    <row r="46" spans="1:12" x14ac:dyDescent="0.2">
      <c r="A46" s="81" t="s">
        <v>5</v>
      </c>
      <c r="B46" s="11">
        <f>IF(Cost!C8="Construction",Cost!C14+Cost!C21+Cost!C28+Cost!C38+Cost!C47,Cost!C14+Cost!C45)</f>
        <v>0</v>
      </c>
      <c r="C46" s="11">
        <f>IF(Cost!D8="Construction",Cost!D14+Cost!D21+Cost!D28+Cost!D38+Cost!D47,Cost!D14+Cost!D45)+B46</f>
        <v>0</v>
      </c>
      <c r="D46" s="11">
        <f>IF(Cost!E8="Construction",Cost!E14+Cost!E21+Cost!E28+Cost!E38+Cost!E47,Cost!E14+Cost!E45)+C46</f>
        <v>0</v>
      </c>
      <c r="E46" s="11">
        <f>IF(Cost!F8="Construction",Cost!F14+Cost!F21+Cost!F28+Cost!F38+Cost!F47,Cost!F14+Cost!F45)+D46</f>
        <v>0</v>
      </c>
      <c r="F46" s="11">
        <f>IF(Cost!G8="Construction",Cost!G14+Cost!G21+Cost!G28+Cost!G38+Cost!G47,Cost!G14+Cost!G45)+E46</f>
        <v>0</v>
      </c>
      <c r="G46" s="97" t="s">
        <v>44</v>
      </c>
      <c r="H46" s="74"/>
    </row>
    <row r="47" spans="1:12" x14ac:dyDescent="0.2">
      <c r="A47" s="121" t="s">
        <v>34</v>
      </c>
      <c r="B47" s="123">
        <f>IF(B46=0,0,IF(Cost!C8="Design",0,D77))</f>
        <v>0</v>
      </c>
      <c r="C47" s="123">
        <f>IF(C46=0,0,IF(Cost!D8="Design",0,E77))</f>
        <v>0</v>
      </c>
      <c r="D47" s="123">
        <f>IF(D46=0,0,IF(Cost!E8="Design",0,F77))</f>
        <v>0</v>
      </c>
      <c r="E47" s="123">
        <f>IF(E46=0,0,IF(Cost!F8="Design",0,G77))</f>
        <v>0</v>
      </c>
      <c r="F47" s="123">
        <f>IF(F46=0,0,IF(Cost!G8="Design",0,H77))</f>
        <v>0</v>
      </c>
      <c r="G47" s="122"/>
      <c r="H47" s="11"/>
    </row>
    <row r="48" spans="1:12" x14ac:dyDescent="0.2">
      <c r="A48" s="82" t="s">
        <v>2</v>
      </c>
      <c r="B48" s="11">
        <f>IF(Cost!C8="Construction",0,B42)</f>
        <v>0</v>
      </c>
      <c r="C48" s="11">
        <f>IF(C42&gt;0,C42,IF(Cost!D8="Construction",0,C42))</f>
        <v>0</v>
      </c>
      <c r="D48" s="11">
        <f>IF(D42&gt;0,D42,IF(Cost!E8="Construction",0,D42))</f>
        <v>0</v>
      </c>
      <c r="E48" s="11">
        <f>IF(E42&gt;0,E42,IF(Cost!F8="Construction",0,E42))</f>
        <v>0</v>
      </c>
      <c r="F48" s="11">
        <f>IF(F42&gt;0,F42,IF(Cost!G8="Construction",0,F42))</f>
        <v>0</v>
      </c>
      <c r="G48" s="11"/>
      <c r="H48" s="11"/>
    </row>
    <row r="49" spans="1:14" x14ac:dyDescent="0.2">
      <c r="A49" s="82" t="s">
        <v>4</v>
      </c>
      <c r="B49" s="11">
        <f>IF(B47=0,0,B47-B48)</f>
        <v>0</v>
      </c>
      <c r="C49" s="11">
        <f>IF(C47=0,0,C47-C48)</f>
        <v>0</v>
      </c>
      <c r="D49" s="11">
        <f t="shared" ref="D49:F49" si="19">IF(D47=0,0,D47-D48)</f>
        <v>0</v>
      </c>
      <c r="E49" s="11">
        <f t="shared" si="19"/>
        <v>0</v>
      </c>
      <c r="F49" s="11">
        <f t="shared" si="19"/>
        <v>0</v>
      </c>
      <c r="G49" s="11"/>
      <c r="H49" s="11"/>
    </row>
    <row r="50" spans="1:14" x14ac:dyDescent="0.2">
      <c r="A50" s="82"/>
      <c r="B50" s="11"/>
      <c r="C50" s="11"/>
      <c r="D50" s="11"/>
      <c r="E50" s="11"/>
      <c r="F50" s="11"/>
      <c r="G50" s="11"/>
      <c r="H50" s="11"/>
    </row>
    <row r="51" spans="1:14" x14ac:dyDescent="0.2">
      <c r="A51" s="84" t="s">
        <v>75</v>
      </c>
      <c r="B51" s="63" t="s">
        <v>28</v>
      </c>
      <c r="C51" s="63" t="s">
        <v>33</v>
      </c>
      <c r="D51" s="63" t="s">
        <v>30</v>
      </c>
      <c r="E51" s="63" t="s">
        <v>32</v>
      </c>
      <c r="F51" s="63" t="s">
        <v>31</v>
      </c>
    </row>
    <row r="52" spans="1:14" x14ac:dyDescent="0.2">
      <c r="A52" s="81" t="s">
        <v>5</v>
      </c>
      <c r="B52" s="11">
        <f>IF(Cost!C8="Tech Fee",Cost!C14+Cost!C21+Cost!C24+Cost!C27+Cost!C38,0)</f>
        <v>0</v>
      </c>
      <c r="C52" s="11">
        <f>IF(Cost!D8="Tech Fee",Cost!D14+Cost!D21+Cost!D24+Cost!D27+Cost!D38,0)+B52</f>
        <v>0</v>
      </c>
      <c r="D52" s="11">
        <f>IF(Cost!E8="Tech Fee",Cost!E14+Cost!E21+Cost!E24+Cost!E27+Cost!E38,0)+C52</f>
        <v>0</v>
      </c>
      <c r="E52" s="11">
        <f>IF(Cost!F8="Tech Fee",Cost!F14+Cost!F21+Cost!F24+Cost!F27+Cost!F38,0)+D52</f>
        <v>0</v>
      </c>
      <c r="F52" s="11">
        <f>IF(Cost!G8="Tech Fee",Cost!G14+Cost!G21+Cost!G24+Cost!G27+Cost!G38,0)+E52</f>
        <v>0</v>
      </c>
      <c r="G52" s="97" t="s">
        <v>43</v>
      </c>
      <c r="H52" s="74"/>
    </row>
    <row r="53" spans="1:14" x14ac:dyDescent="0.2">
      <c r="A53" s="81" t="s">
        <v>34</v>
      </c>
      <c r="B53" s="11">
        <f>IF(B52=0,0,B52*0.2)</f>
        <v>0</v>
      </c>
      <c r="C53" s="11">
        <f t="shared" ref="C53:F53" si="20">IF(C52=0,0,C52*0.2)</f>
        <v>0</v>
      </c>
      <c r="D53" s="11">
        <f t="shared" si="20"/>
        <v>0</v>
      </c>
      <c r="E53" s="11">
        <f t="shared" si="20"/>
        <v>0</v>
      </c>
      <c r="F53" s="11">
        <f t="shared" si="20"/>
        <v>0</v>
      </c>
      <c r="G53" s="11"/>
      <c r="H53" s="11"/>
    </row>
    <row r="54" spans="1:14" x14ac:dyDescent="0.2">
      <c r="A54" s="82" t="s">
        <v>2</v>
      </c>
      <c r="B54" s="11">
        <v>0</v>
      </c>
      <c r="C54" s="11">
        <v>0</v>
      </c>
      <c r="D54" s="11">
        <v>0</v>
      </c>
      <c r="E54" s="11">
        <v>0</v>
      </c>
      <c r="F54" s="11">
        <v>0</v>
      </c>
      <c r="G54" s="11"/>
      <c r="H54" s="11"/>
    </row>
    <row r="55" spans="1:14" x14ac:dyDescent="0.2">
      <c r="A55" s="82" t="s">
        <v>4</v>
      </c>
      <c r="B55" s="11">
        <f>B53</f>
        <v>0</v>
      </c>
      <c r="C55" s="11">
        <f t="shared" ref="C55:F55" si="21">C53</f>
        <v>0</v>
      </c>
      <c r="D55" s="11">
        <f t="shared" si="21"/>
        <v>0</v>
      </c>
      <c r="E55" s="11">
        <f t="shared" si="21"/>
        <v>0</v>
      </c>
      <c r="F55" s="11">
        <f t="shared" si="21"/>
        <v>0</v>
      </c>
      <c r="G55" s="11"/>
      <c r="H55" s="11"/>
    </row>
    <row r="56" spans="1:14" x14ac:dyDescent="0.2">
      <c r="A56" s="28"/>
      <c r="B56" s="29"/>
      <c r="C56" s="29"/>
      <c r="D56" s="29"/>
      <c r="E56" s="29"/>
      <c r="F56" s="29"/>
    </row>
    <row r="57" spans="1:14" x14ac:dyDescent="0.2">
      <c r="A57" s="25" t="s">
        <v>85</v>
      </c>
      <c r="D57" s="9">
        <v>1</v>
      </c>
      <c r="E57" s="9">
        <v>2</v>
      </c>
      <c r="F57" s="9">
        <v>3</v>
      </c>
      <c r="G57" s="9">
        <v>4</v>
      </c>
      <c r="H57" s="9">
        <v>5</v>
      </c>
    </row>
    <row r="58" spans="1:14" x14ac:dyDescent="0.2">
      <c r="A58" s="64">
        <v>0</v>
      </c>
      <c r="B58" s="124">
        <v>7.4999999999999997E-2</v>
      </c>
      <c r="C58" s="119">
        <v>500</v>
      </c>
      <c r="D58" s="64">
        <f>IF(B$40&lt;$A59,IF(B$40*$B58&lt;=$C58,$C58,B$40*$B58),0)</f>
        <v>500</v>
      </c>
      <c r="E58" s="64">
        <f t="shared" ref="E58:H58" si="22">IF(C$40&lt;$A59,IF(C$40*$B58&lt;=$C58,$C58,C$40*$B58),0)</f>
        <v>500</v>
      </c>
      <c r="F58" s="64">
        <f t="shared" si="22"/>
        <v>500</v>
      </c>
      <c r="G58" s="64">
        <f t="shared" si="22"/>
        <v>500</v>
      </c>
      <c r="H58" s="64">
        <f t="shared" si="22"/>
        <v>500</v>
      </c>
    </row>
    <row r="59" spans="1:14" x14ac:dyDescent="0.2">
      <c r="A59" s="64">
        <v>35000</v>
      </c>
      <c r="B59" s="124">
        <v>6.7500000000000004E-2</v>
      </c>
      <c r="C59" s="119">
        <v>2625</v>
      </c>
      <c r="D59" s="64">
        <f>IF(AND(B$40&lt;$A60,B$40&gt;=$A59),IF(B$40*$B59&lt;=$C59,$C59,B$40*$B59),0)</f>
        <v>0</v>
      </c>
      <c r="E59" s="64">
        <f t="shared" ref="E59:H62" si="23">IF(AND(C$40&lt;$A60,C$40&gt;=$A59),IF(C$40*$B59&lt;=$C59,$C59,C$40*$B59),0)</f>
        <v>0</v>
      </c>
      <c r="F59" s="64">
        <f t="shared" si="23"/>
        <v>0</v>
      </c>
      <c r="G59" s="64">
        <f t="shared" si="23"/>
        <v>0</v>
      </c>
      <c r="H59" s="64">
        <f t="shared" si="23"/>
        <v>0</v>
      </c>
    </row>
    <row r="60" spans="1:14" x14ac:dyDescent="0.2">
      <c r="A60" s="64">
        <v>100000</v>
      </c>
      <c r="B60" s="124">
        <v>0.06</v>
      </c>
      <c r="C60" s="119">
        <v>6750</v>
      </c>
      <c r="D60" s="64">
        <f t="shared" ref="D60:D62" si="24">IF(AND(B$40&lt;$A61,B$40&gt;=$A60),IF(B$40*$B60&lt;=$C60,$C60,B$40*$B60),0)</f>
        <v>0</v>
      </c>
      <c r="E60" s="64">
        <f t="shared" si="23"/>
        <v>0</v>
      </c>
      <c r="F60" s="64">
        <f t="shared" si="23"/>
        <v>0</v>
      </c>
      <c r="G60" s="64">
        <f t="shared" si="23"/>
        <v>0</v>
      </c>
      <c r="H60" s="64">
        <f t="shared" si="23"/>
        <v>0</v>
      </c>
    </row>
    <row r="61" spans="1:14" x14ac:dyDescent="0.2">
      <c r="A61" s="64">
        <v>500000</v>
      </c>
      <c r="B61" s="124">
        <v>5.2499999999999998E-2</v>
      </c>
      <c r="C61" s="119">
        <v>30000</v>
      </c>
      <c r="D61" s="64">
        <f t="shared" si="24"/>
        <v>0</v>
      </c>
      <c r="E61" s="64">
        <f t="shared" si="23"/>
        <v>0</v>
      </c>
      <c r="F61" s="64">
        <f t="shared" si="23"/>
        <v>0</v>
      </c>
      <c r="G61" s="64">
        <f t="shared" si="23"/>
        <v>0</v>
      </c>
      <c r="H61" s="64">
        <f t="shared" si="23"/>
        <v>0</v>
      </c>
    </row>
    <row r="62" spans="1:14" x14ac:dyDescent="0.2">
      <c r="A62" s="64">
        <v>2000000</v>
      </c>
      <c r="B62" s="124">
        <v>3.7499999999999999E-2</v>
      </c>
      <c r="C62" s="119">
        <v>105000</v>
      </c>
      <c r="D62" s="64">
        <f t="shared" si="24"/>
        <v>0</v>
      </c>
      <c r="E62" s="64">
        <f t="shared" si="23"/>
        <v>0</v>
      </c>
      <c r="F62" s="64">
        <f t="shared" si="23"/>
        <v>0</v>
      </c>
      <c r="G62" s="64">
        <f t="shared" si="23"/>
        <v>0</v>
      </c>
      <c r="H62" s="64">
        <f t="shared" si="23"/>
        <v>0</v>
      </c>
      <c r="M62" s="18"/>
    </row>
    <row r="63" spans="1:14" x14ac:dyDescent="0.2">
      <c r="A63" s="64">
        <v>4000000</v>
      </c>
      <c r="B63" s="124">
        <v>0.03</v>
      </c>
      <c r="C63" s="119">
        <v>150000</v>
      </c>
      <c r="D63" s="64">
        <f>IF(B$40&gt;=$A63,IF(B$40*$B63&lt;=$C63,$C63,B$40*$B63),0)</f>
        <v>0</v>
      </c>
      <c r="E63" s="64">
        <f>IF(C$40&gt;=$A63,IF(C$40*$B63&lt;=$C63,$C63,C$40*$B63),0)</f>
        <v>0</v>
      </c>
      <c r="F63" s="64">
        <f>IF(D$40&gt;=$A63,IF(D$40*$B63&lt;=$C63,$C63,D$40*$B63),0)</f>
        <v>0</v>
      </c>
      <c r="G63" s="64">
        <f>IF(E$40&gt;=$A63,IF(E$40*$B63&lt;=$C63,$C63,E$40*$B63),0)</f>
        <v>0</v>
      </c>
      <c r="H63" s="64">
        <f>IF(F$40&gt;=$A63,IF(F$40*$B63&lt;=$C63,$C63,F$40*$B63),0)</f>
        <v>0</v>
      </c>
      <c r="M63" s="18"/>
      <c r="N63" s="27"/>
    </row>
    <row r="64" spans="1:14" x14ac:dyDescent="0.2">
      <c r="A64" s="64"/>
      <c r="B64" s="124"/>
      <c r="C64" s="119"/>
      <c r="D64" s="64"/>
      <c r="E64" s="64"/>
      <c r="F64" s="64"/>
      <c r="G64" s="64"/>
      <c r="H64" s="64"/>
      <c r="M64" s="18"/>
      <c r="N64" s="27"/>
    </row>
    <row r="65" spans="1:14" x14ac:dyDescent="0.2">
      <c r="A65" s="64"/>
      <c r="B65" s="125"/>
      <c r="D65" s="64"/>
      <c r="E65" s="64"/>
      <c r="F65" s="64"/>
      <c r="G65" s="64"/>
      <c r="H65" s="64"/>
      <c r="M65" s="18"/>
      <c r="N65" s="27"/>
    </row>
    <row r="66" spans="1:14" x14ac:dyDescent="0.2">
      <c r="A66" s="64"/>
      <c r="B66" s="125"/>
      <c r="C66" s="18" t="s">
        <v>18</v>
      </c>
      <c r="D66" s="73">
        <f>SUM(D58:D64)</f>
        <v>500</v>
      </c>
      <c r="E66" s="73">
        <f t="shared" ref="E66:H66" si="25">SUM(E58:E64)</f>
        <v>500</v>
      </c>
      <c r="F66" s="73">
        <f t="shared" si="25"/>
        <v>500</v>
      </c>
      <c r="G66" s="73">
        <f t="shared" si="25"/>
        <v>500</v>
      </c>
      <c r="H66" s="73">
        <f t="shared" si="25"/>
        <v>500</v>
      </c>
      <c r="I66" s="18"/>
      <c r="J66" s="21"/>
      <c r="K66" s="92"/>
      <c r="M66" s="18"/>
      <c r="N66" s="27"/>
    </row>
    <row r="67" spans="1:14" x14ac:dyDescent="0.2">
      <c r="A67" s="64"/>
      <c r="B67" s="125"/>
      <c r="K67" s="93"/>
      <c r="M67" s="18"/>
      <c r="N67" s="27"/>
    </row>
    <row r="68" spans="1:14" x14ac:dyDescent="0.2">
      <c r="A68" s="86" t="s">
        <v>86</v>
      </c>
      <c r="B68" s="125"/>
      <c r="D68" s="9">
        <v>1</v>
      </c>
      <c r="E68" s="9">
        <v>2</v>
      </c>
      <c r="F68" s="9">
        <v>3</v>
      </c>
      <c r="G68" s="9">
        <v>4</v>
      </c>
      <c r="H68" s="9">
        <v>5</v>
      </c>
      <c r="K68" s="93"/>
      <c r="M68" s="18"/>
      <c r="N68" s="27"/>
    </row>
    <row r="69" spans="1:14" x14ac:dyDescent="0.2">
      <c r="A69" s="64">
        <v>0</v>
      </c>
      <c r="B69" s="124">
        <v>7.4999999999999997E-2</v>
      </c>
      <c r="C69" s="119">
        <v>500</v>
      </c>
      <c r="D69" s="64">
        <f>IF(B$46&lt;$A70,IF(B$46*$B69&lt;=$C69,$C69,B$46*$B69),0)</f>
        <v>500</v>
      </c>
      <c r="E69" s="64">
        <f t="shared" ref="E69:H69" si="26">IF(C$46&lt;$A70,IF(C$46*$B69&lt;=$C69,$C69,C$46*$B69),0)</f>
        <v>500</v>
      </c>
      <c r="F69" s="64">
        <f t="shared" si="26"/>
        <v>500</v>
      </c>
      <c r="G69" s="64">
        <f t="shared" si="26"/>
        <v>500</v>
      </c>
      <c r="H69" s="64">
        <f t="shared" si="26"/>
        <v>500</v>
      </c>
      <c r="K69" s="93"/>
      <c r="M69" s="18"/>
    </row>
    <row r="70" spans="1:14" x14ac:dyDescent="0.2">
      <c r="A70" s="64">
        <v>35000</v>
      </c>
      <c r="B70" s="124">
        <v>6.7500000000000004E-2</v>
      </c>
      <c r="C70" s="119">
        <v>2625</v>
      </c>
      <c r="D70" s="64">
        <f>IF(AND(B$46&lt;$A71,B$46&gt;=$A70),IF(B$46*$B70&lt;=$C70,$C70,B$46*$B70),0)</f>
        <v>0</v>
      </c>
      <c r="E70" s="64">
        <f t="shared" ref="E70:H73" si="27">IF(AND(C$46&lt;$A71,C$46&gt;=$A70),IF(C$46*$B70&lt;=$C70,$C70,C$46*$B70),0)</f>
        <v>0</v>
      </c>
      <c r="F70" s="64">
        <f t="shared" si="27"/>
        <v>0</v>
      </c>
      <c r="G70" s="64">
        <f t="shared" si="27"/>
        <v>0</v>
      </c>
      <c r="H70" s="64">
        <f t="shared" si="27"/>
        <v>0</v>
      </c>
      <c r="K70" s="93"/>
    </row>
    <row r="71" spans="1:14" x14ac:dyDescent="0.2">
      <c r="A71" s="64">
        <v>100000</v>
      </c>
      <c r="B71" s="124">
        <v>0.06</v>
      </c>
      <c r="C71" s="119">
        <v>6750</v>
      </c>
      <c r="D71" s="64">
        <f t="shared" ref="D71:D73" si="28">IF(AND(B$46&lt;$A72,B$46&gt;=$A71),IF(B$46*$B71&lt;=$C71,$C71,B$46*$B71),0)</f>
        <v>0</v>
      </c>
      <c r="E71" s="64">
        <f t="shared" si="27"/>
        <v>0</v>
      </c>
      <c r="F71" s="64">
        <f t="shared" si="27"/>
        <v>0</v>
      </c>
      <c r="G71" s="64">
        <f t="shared" si="27"/>
        <v>0</v>
      </c>
      <c r="H71" s="64">
        <f t="shared" si="27"/>
        <v>0</v>
      </c>
      <c r="K71" s="93"/>
    </row>
    <row r="72" spans="1:14" x14ac:dyDescent="0.2">
      <c r="A72" s="64">
        <v>500000</v>
      </c>
      <c r="B72" s="124">
        <v>5.2499999999999998E-2</v>
      </c>
      <c r="C72" s="119">
        <v>30000</v>
      </c>
      <c r="D72" s="64">
        <f t="shared" si="28"/>
        <v>0</v>
      </c>
      <c r="E72" s="64">
        <f>IF(AND(C$46&lt;$A73,C$46&gt;=$A72),IF(C$46*$B72&lt;=$C72,$C72,C$46*$B72),0)</f>
        <v>0</v>
      </c>
      <c r="F72" s="64">
        <f t="shared" si="27"/>
        <v>0</v>
      </c>
      <c r="G72" s="64">
        <f t="shared" si="27"/>
        <v>0</v>
      </c>
      <c r="H72" s="64">
        <f t="shared" si="27"/>
        <v>0</v>
      </c>
      <c r="K72" s="93"/>
    </row>
    <row r="73" spans="1:14" x14ac:dyDescent="0.2">
      <c r="A73" s="64">
        <v>2000000</v>
      </c>
      <c r="B73" s="124">
        <v>3.7499999999999999E-2</v>
      </c>
      <c r="C73" s="119">
        <v>105000</v>
      </c>
      <c r="D73" s="64">
        <f t="shared" si="28"/>
        <v>0</v>
      </c>
      <c r="E73" s="64">
        <f t="shared" si="27"/>
        <v>0</v>
      </c>
      <c r="F73" s="64">
        <f t="shared" si="27"/>
        <v>0</v>
      </c>
      <c r="G73" s="64">
        <f t="shared" si="27"/>
        <v>0</v>
      </c>
      <c r="H73" s="64">
        <f t="shared" si="27"/>
        <v>0</v>
      </c>
      <c r="K73" s="93"/>
    </row>
    <row r="74" spans="1:14" x14ac:dyDescent="0.2">
      <c r="A74" s="64">
        <v>4000000</v>
      </c>
      <c r="B74" s="124">
        <v>0.03</v>
      </c>
      <c r="C74" s="119">
        <v>150000</v>
      </c>
      <c r="D74" s="64">
        <f>IF(B$46&gt;=$A74,IF(B$46*$B74&lt;=$C74,$C74,B$46*$B74),0)</f>
        <v>0</v>
      </c>
      <c r="E74" s="64">
        <f>IF(C$46&gt;=$A74,IF(C$46*$B74&lt;=$C74,$C74,C$46*$B74),0)</f>
        <v>0</v>
      </c>
      <c r="F74" s="64">
        <f>IF(D$46&gt;=$A74,IF(D$46*$B74&lt;=$C74,$C74,D$46*$B74),0)</f>
        <v>0</v>
      </c>
      <c r="G74" s="64">
        <f>IF(E$46&gt;=$A74,IF(E$46*$B74&lt;=$C74,$C74,E$46*$B74),0)</f>
        <v>0</v>
      </c>
      <c r="H74" s="64">
        <f>IF(F$46&gt;=$A74,IF(F$46*$B74&lt;=$C74,$C74,F$46*$B74),0)</f>
        <v>0</v>
      </c>
      <c r="K74" s="93"/>
    </row>
    <row r="75" spans="1:14" x14ac:dyDescent="0.2">
      <c r="A75" s="64"/>
      <c r="B75" s="120"/>
      <c r="C75" s="119"/>
      <c r="D75" s="64"/>
      <c r="E75" s="64"/>
      <c r="F75" s="64"/>
      <c r="G75" s="64"/>
      <c r="H75" s="64"/>
      <c r="K75" s="93"/>
    </row>
    <row r="76" spans="1:14" x14ac:dyDescent="0.2">
      <c r="A76" s="64"/>
      <c r="D76" s="64"/>
      <c r="E76" s="64"/>
      <c r="F76" s="64"/>
      <c r="G76" s="64"/>
      <c r="H76" s="64"/>
      <c r="K76" s="93"/>
    </row>
    <row r="77" spans="1:14" x14ac:dyDescent="0.2">
      <c r="C77" s="18" t="s">
        <v>40</v>
      </c>
      <c r="D77" s="73">
        <f>SUM(D69:D75)</f>
        <v>500</v>
      </c>
      <c r="E77" s="73">
        <f t="shared" ref="E77:H77" si="29">SUM(E69:E75)</f>
        <v>500</v>
      </c>
      <c r="F77" s="73">
        <f t="shared" si="29"/>
        <v>500</v>
      </c>
      <c r="G77" s="73">
        <f t="shared" si="29"/>
        <v>500</v>
      </c>
      <c r="H77" s="73">
        <f t="shared" si="29"/>
        <v>500</v>
      </c>
      <c r="I77" s="18"/>
      <c r="J77" s="21"/>
      <c r="K77" s="92"/>
    </row>
    <row r="79" spans="1:14" x14ac:dyDescent="0.2">
      <c r="A79" s="9" t="s">
        <v>15</v>
      </c>
      <c r="F79" s="65"/>
    </row>
    <row r="80" spans="1:14" x14ac:dyDescent="0.2">
      <c r="A80" s="9" t="s">
        <v>76</v>
      </c>
    </row>
    <row r="81" spans="1:1" x14ac:dyDescent="0.2">
      <c r="A81" s="9" t="s">
        <v>2</v>
      </c>
    </row>
    <row r="82" spans="1:1" x14ac:dyDescent="0.2">
      <c r="A82" s="9" t="s">
        <v>4</v>
      </c>
    </row>
    <row r="83" spans="1:1" x14ac:dyDescent="0.2">
      <c r="A83" s="9" t="s">
        <v>6</v>
      </c>
    </row>
    <row r="85" spans="1:1" x14ac:dyDescent="0.2">
      <c r="A85" s="9" t="s">
        <v>8</v>
      </c>
    </row>
    <row r="86" spans="1:1" x14ac:dyDescent="0.2">
      <c r="A86" s="9" t="s">
        <v>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f090154-60ff-4463-8555-49596a1a7b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AB27755B7F334A960D3EB8B3D9A59F" ma:contentTypeVersion="12" ma:contentTypeDescription="Create a new document." ma:contentTypeScope="" ma:versionID="1405f0b53cdadd45a9770b8ff0912388">
  <xsd:schema xmlns:xsd="http://www.w3.org/2001/XMLSchema" xmlns:xs="http://www.w3.org/2001/XMLSchema" xmlns:p="http://schemas.microsoft.com/office/2006/metadata/properties" xmlns:ns1="http://schemas.microsoft.com/sharepoint/v3" xmlns:ns2="6f090154-60ff-4463-8555-49596a1a7b52" targetNamespace="http://schemas.microsoft.com/office/2006/metadata/properties" ma:root="true" ma:fieldsID="77c45094e72138eafb930127a904082c" ns1:_="" ns2:_="">
    <xsd:import namespace="http://schemas.microsoft.com/sharepoint/v3"/>
    <xsd:import namespace="6f090154-60ff-4463-8555-49596a1a7b5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1:_ip_UnifiedCompliancePolicyProperties" minOccurs="0"/>
                <xsd:element ref="ns1:_ip_UnifiedCompliancePolicyUIAction"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090154-60ff-4463-8555-49596a1a7b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757968-b5e0-43bf-af52-13bc706514c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CA296B-2A52-4577-8C94-FE70D963054B}">
  <ds:schemaRefs>
    <ds:schemaRef ds:uri="http://schemas.microsoft.com/office/infopath/2007/PartnerControls"/>
    <ds:schemaRef ds:uri="http://purl.org/dc/dcmitype/"/>
    <ds:schemaRef ds:uri="http://purl.org/dc/elements/1.1/"/>
    <ds:schemaRef ds:uri="2fbcfd6b-a6ac-4201-b005-da80cc57163c"/>
    <ds:schemaRef ds:uri="http://schemas.openxmlformats.org/package/2006/metadata/core-properties"/>
    <ds:schemaRef ds:uri="http://www.w3.org/XML/1998/namespace"/>
    <ds:schemaRef ds:uri="http://schemas.microsoft.com/office/2006/documentManagement/types"/>
    <ds:schemaRef ds:uri="http://purl.org/dc/terms/"/>
    <ds:schemaRef ds:uri="27bc4803-623d-4af7-a62f-1c0dacfebe65"/>
    <ds:schemaRef ds:uri="http://schemas.microsoft.com/office/2006/metadata/properties"/>
  </ds:schemaRefs>
</ds:datastoreItem>
</file>

<file path=customXml/itemProps2.xml><?xml version="1.0" encoding="utf-8"?>
<ds:datastoreItem xmlns:ds="http://schemas.openxmlformats.org/officeDocument/2006/customXml" ds:itemID="{E6708136-A46D-43A3-AFCA-92B23FDBE5A3}"/>
</file>

<file path=customXml/itemProps3.xml><?xml version="1.0" encoding="utf-8"?>
<ds:datastoreItem xmlns:ds="http://schemas.openxmlformats.org/officeDocument/2006/customXml" ds:itemID="{5060C989-8E50-4E25-BBF1-C93A1F7B14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Cost</vt:lpstr>
      <vt:lpstr>Calc Sheet</vt:lpstr>
      <vt:lpstr>Cost!Print_Area</vt:lpstr>
    </vt:vector>
  </TitlesOfParts>
  <Manager/>
  <Company>University of Central Florida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 Kelly</dc:creator>
  <cp:keywords/>
  <dc:description/>
  <cp:lastModifiedBy>Sierra Adams</cp:lastModifiedBy>
  <cp:revision/>
  <cp:lastPrinted>2022-06-28T21:27:35Z</cp:lastPrinted>
  <dcterms:created xsi:type="dcterms:W3CDTF">2014-07-31T13:13:38Z</dcterms:created>
  <dcterms:modified xsi:type="dcterms:W3CDTF">2025-02-03T22:06:11Z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0x010100F2AB27755B7F334A960D3EB8B3D9A59F</vt:lpwstr>
  </property>
</Properties>
</file>